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d.docs.live.net/9538a875d685c9a0/Marcelo Aguiar/Sec. Educação/Secretaria Municipal de Educação/2 - Processos em Andamento/CMEI Ruth Silva/Processo atual/CD/"/>
    </mc:Choice>
  </mc:AlternateContent>
  <xr:revisionPtr revIDLastSave="16" documentId="14_{9AA3DF17-E750-4F39-B5A0-689FDE1984E1}" xr6:coauthVersionLast="47" xr6:coauthVersionMax="47" xr10:uidLastSave="{A1AC4D2D-07BE-4FD3-BFBF-AE7AC9721578}"/>
  <bookViews>
    <workbookView xWindow="-120" yWindow="-120" windowWidth="20730" windowHeight="11160" tabRatio="507" firstSheet="1" activeTab="1" xr2:uid="{00000000-000D-0000-FFFF-FFFF00000000}"/>
  </bookViews>
  <sheets>
    <sheet name="MEMÓRIA DE CÁLCULO" sheetId="6" state="hidden" r:id="rId1"/>
    <sheet name="ORÇAMENTO " sheetId="5" r:id="rId2"/>
  </sheets>
  <definedNames>
    <definedName name="_xlnm.Print_Area" localSheetId="0">'MEMÓRIA DE CÁLCULO'!$B$1:$H$2287</definedName>
    <definedName name="_xlnm.Print_Area" localSheetId="1">'ORÇAMENTO '!$B$2:$J$345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26" i="6" l="1"/>
  <c r="H2225" i="6"/>
  <c r="H2224" i="6"/>
  <c r="H2223" i="6"/>
  <c r="H2222" i="6"/>
  <c r="H2221" i="6"/>
  <c r="H2220" i="6"/>
  <c r="H2219" i="6"/>
  <c r="H2218" i="6"/>
  <c r="H2217" i="6"/>
  <c r="H2216" i="6"/>
  <c r="H2215" i="6"/>
  <c r="H2214" i="6"/>
  <c r="H2213" i="6"/>
  <c r="H2211" i="6"/>
  <c r="H2210" i="6"/>
  <c r="H2209" i="6"/>
  <c r="F352" i="6"/>
  <c r="H2121" i="6"/>
  <c r="H2119" i="6"/>
  <c r="H2117" i="6"/>
  <c r="H2116" i="6"/>
  <c r="H2114" i="6"/>
  <c r="H2112" i="6"/>
  <c r="H2111" i="6"/>
  <c r="H2127" i="6"/>
  <c r="H2125" i="6"/>
  <c r="H2123" i="6"/>
  <c r="F2126" i="6"/>
  <c r="H2126" i="6" s="1"/>
  <c r="F2124" i="6"/>
  <c r="H2124" i="6" s="1"/>
  <c r="F2122" i="6"/>
  <c r="H2122" i="6" s="1"/>
  <c r="D94" i="5"/>
  <c r="D269" i="5"/>
  <c r="E269" i="5"/>
  <c r="H1183" i="6"/>
  <c r="H1182" i="6" s="1"/>
  <c r="G269" i="5" s="1"/>
  <c r="J269" i="5" s="1"/>
  <c r="H1546" i="6"/>
  <c r="H1545" i="6" s="1"/>
  <c r="H1544" i="6"/>
  <c r="H1543" i="6" s="1"/>
  <c r="D130" i="5" l="1"/>
  <c r="E130" i="5"/>
  <c r="D131" i="5"/>
  <c r="E131" i="5"/>
  <c r="D132" i="5"/>
  <c r="E132" i="5"/>
  <c r="D133" i="5"/>
  <c r="E133" i="5"/>
  <c r="D134" i="5"/>
  <c r="E134" i="5"/>
  <c r="D135" i="5"/>
  <c r="E135" i="5"/>
  <c r="D136" i="5"/>
  <c r="E136" i="5"/>
  <c r="D137" i="5"/>
  <c r="E137" i="5"/>
  <c r="D138" i="5"/>
  <c r="E138" i="5"/>
  <c r="D139" i="5"/>
  <c r="E139" i="5"/>
  <c r="D140" i="5"/>
  <c r="E140" i="5"/>
  <c r="D141" i="5"/>
  <c r="E141" i="5"/>
  <c r="D142" i="5"/>
  <c r="E142" i="5"/>
  <c r="D143" i="5"/>
  <c r="E143" i="5"/>
  <c r="D144" i="5"/>
  <c r="E144" i="5"/>
  <c r="D145" i="5"/>
  <c r="E145" i="5"/>
  <c r="D146" i="5"/>
  <c r="E146" i="5"/>
  <c r="D147" i="5"/>
  <c r="E147" i="5"/>
  <c r="D148" i="5"/>
  <c r="E148" i="5"/>
  <c r="D149" i="5"/>
  <c r="E149" i="5"/>
  <c r="D150" i="5"/>
  <c r="E150" i="5"/>
  <c r="D151" i="5"/>
  <c r="E151" i="5"/>
  <c r="D152" i="5"/>
  <c r="E152" i="5"/>
  <c r="D153" i="5"/>
  <c r="E153" i="5"/>
  <c r="D154" i="5"/>
  <c r="E154" i="5"/>
  <c r="D155" i="5"/>
  <c r="E155" i="5"/>
  <c r="D156" i="5"/>
  <c r="E156" i="5"/>
  <c r="D157" i="5"/>
  <c r="E157" i="5"/>
  <c r="D158" i="5"/>
  <c r="E158" i="5"/>
  <c r="D159" i="5"/>
  <c r="E159" i="5"/>
  <c r="D160" i="5"/>
  <c r="E160" i="5"/>
  <c r="D161" i="5"/>
  <c r="E161" i="5"/>
  <c r="D162" i="5"/>
  <c r="E162" i="5"/>
  <c r="D164" i="5"/>
  <c r="E164" i="5"/>
  <c r="D165" i="5"/>
  <c r="E165" i="5"/>
  <c r="D166" i="5"/>
  <c r="E166" i="5"/>
  <c r="D167" i="5"/>
  <c r="E167" i="5"/>
  <c r="D168" i="5"/>
  <c r="E168" i="5"/>
  <c r="D169" i="5"/>
  <c r="E169" i="5"/>
  <c r="D170" i="5"/>
  <c r="E170" i="5"/>
  <c r="G170" i="5"/>
  <c r="J170" i="5" s="1"/>
  <c r="D171" i="5"/>
  <c r="E171" i="5"/>
  <c r="D172" i="5"/>
  <c r="E172" i="5"/>
  <c r="D173" i="5"/>
  <c r="E173" i="5"/>
  <c r="D174" i="5"/>
  <c r="E174" i="5"/>
  <c r="D175" i="5"/>
  <c r="E175" i="5"/>
  <c r="D176" i="5"/>
  <c r="E176" i="5"/>
  <c r="D177" i="5"/>
  <c r="E177" i="5"/>
  <c r="D178" i="5"/>
  <c r="E178" i="5"/>
  <c r="D179" i="5"/>
  <c r="E179" i="5"/>
  <c r="D180" i="5"/>
  <c r="E180" i="5"/>
  <c r="D181" i="5"/>
  <c r="E181" i="5"/>
  <c r="D182" i="5"/>
  <c r="E182" i="5"/>
  <c r="D183" i="5"/>
  <c r="E183" i="5"/>
  <c r="D184" i="5"/>
  <c r="E184" i="5"/>
  <c r="D185" i="5"/>
  <c r="E185" i="5"/>
  <c r="D186" i="5"/>
  <c r="E186" i="5"/>
  <c r="D187" i="5"/>
  <c r="E187" i="5"/>
  <c r="D188" i="5"/>
  <c r="E188" i="5"/>
  <c r="D189" i="5"/>
  <c r="E189" i="5"/>
  <c r="D191" i="5"/>
  <c r="E191" i="5"/>
  <c r="D192" i="5"/>
  <c r="E192" i="5"/>
  <c r="D193" i="5"/>
  <c r="E193" i="5"/>
  <c r="D194" i="5"/>
  <c r="E194" i="5"/>
  <c r="D195" i="5"/>
  <c r="E195" i="5"/>
  <c r="D196" i="5"/>
  <c r="E196" i="5"/>
  <c r="D197" i="5"/>
  <c r="E197" i="5"/>
  <c r="D198" i="5"/>
  <c r="E198" i="5"/>
  <c r="D199" i="5"/>
  <c r="E199" i="5"/>
  <c r="D200" i="5"/>
  <c r="E200" i="5"/>
  <c r="D201" i="5"/>
  <c r="E201" i="5"/>
  <c r="D202" i="5"/>
  <c r="E202" i="5"/>
  <c r="D203" i="5"/>
  <c r="E203" i="5"/>
  <c r="D204" i="5"/>
  <c r="E204" i="5"/>
  <c r="D205" i="5"/>
  <c r="E205" i="5"/>
  <c r="D206" i="5"/>
  <c r="E206" i="5"/>
  <c r="D207" i="5"/>
  <c r="E207" i="5"/>
  <c r="D209" i="5"/>
  <c r="E209" i="5"/>
  <c r="D210" i="5"/>
  <c r="E210" i="5"/>
  <c r="D211" i="5"/>
  <c r="E211" i="5"/>
  <c r="D212" i="5"/>
  <c r="E212" i="5"/>
  <c r="D213" i="5"/>
  <c r="E213" i="5"/>
  <c r="D214" i="5"/>
  <c r="E214" i="5"/>
  <c r="H672" i="6"/>
  <c r="H673" i="6"/>
  <c r="F2281" i="6"/>
  <c r="H2281" i="6" s="1"/>
  <c r="H2280" i="6" s="1"/>
  <c r="D302" i="5"/>
  <c r="E302" i="5"/>
  <c r="H1540" i="6"/>
  <c r="H1539" i="6"/>
  <c r="H737" i="6"/>
  <c r="H736" i="6"/>
  <c r="F694" i="6"/>
  <c r="F722" i="6"/>
  <c r="F724" i="6"/>
  <c r="H688" i="6"/>
  <c r="H687" i="6"/>
  <c r="H685" i="6"/>
  <c r="H684" i="6"/>
  <c r="D33" i="5"/>
  <c r="E33" i="5"/>
  <c r="H303" i="6"/>
  <c r="H302" i="6"/>
  <c r="D334" i="5"/>
  <c r="E334" i="5"/>
  <c r="H2278" i="6"/>
  <c r="H2279" i="6"/>
  <c r="H2277" i="6"/>
  <c r="D268" i="5"/>
  <c r="E268" i="5"/>
  <c r="H1181" i="6"/>
  <c r="H1180" i="6"/>
  <c r="H1179" i="6"/>
  <c r="H1178" i="6"/>
  <c r="H682" i="6"/>
  <c r="H681" i="6"/>
  <c r="H679" i="6"/>
  <c r="H678" i="6" s="1"/>
  <c r="G135" i="5" s="1"/>
  <c r="J135" i="5" s="1"/>
  <c r="H677" i="6"/>
  <c r="H676" i="6" s="1"/>
  <c r="G134" i="5" s="1"/>
  <c r="J134" i="5" s="1"/>
  <c r="H675" i="6"/>
  <c r="H674" i="6" s="1"/>
  <c r="G133" i="5" s="1"/>
  <c r="J133" i="5" s="1"/>
  <c r="H671" i="6"/>
  <c r="H669" i="6"/>
  <c r="H668" i="6" s="1"/>
  <c r="G131" i="5" s="1"/>
  <c r="J131" i="5" s="1"/>
  <c r="H792" i="6"/>
  <c r="H791" i="6"/>
  <c r="H789" i="6"/>
  <c r="H788" i="6"/>
  <c r="H670" i="6" l="1"/>
  <c r="G132" i="5" s="1"/>
  <c r="J132" i="5" s="1"/>
  <c r="H1538" i="6"/>
  <c r="G302" i="5" s="1"/>
  <c r="J302" i="5" s="1"/>
  <c r="H735" i="6"/>
  <c r="G162" i="5" s="1"/>
  <c r="J162" i="5" s="1"/>
  <c r="H686" i="6"/>
  <c r="G138" i="5" s="1"/>
  <c r="J138" i="5" s="1"/>
  <c r="H683" i="6"/>
  <c r="G137" i="5" s="1"/>
  <c r="J137" i="5" s="1"/>
  <c r="H301" i="6"/>
  <c r="G33" i="5" s="1"/>
  <c r="J33" i="5" s="1"/>
  <c r="H680" i="6"/>
  <c r="G136" i="5" s="1"/>
  <c r="J136" i="5" s="1"/>
  <c r="H2276" i="6"/>
  <c r="G334" i="5" s="1"/>
  <c r="J334" i="5" s="1"/>
  <c r="H1177" i="6"/>
  <c r="G268" i="5" s="1"/>
  <c r="J268" i="5" s="1"/>
  <c r="H790" i="6"/>
  <c r="G189" i="5" s="1"/>
  <c r="J189" i="5" s="1"/>
  <c r="H787" i="6"/>
  <c r="G188" i="5" s="1"/>
  <c r="J188" i="5" s="1"/>
  <c r="D125" i="5" l="1"/>
  <c r="E125" i="5"/>
  <c r="D126" i="5"/>
  <c r="E126" i="5"/>
  <c r="D127" i="5"/>
  <c r="E127" i="5"/>
  <c r="D128" i="5"/>
  <c r="E128" i="5"/>
  <c r="D129" i="5"/>
  <c r="E129" i="5"/>
  <c r="H639" i="6"/>
  <c r="H645" i="6"/>
  <c r="H646" i="6"/>
  <c r="H647" i="6"/>
  <c r="H648" i="6"/>
  <c r="H649" i="6"/>
  <c r="H650" i="6"/>
  <c r="H651" i="6"/>
  <c r="H652" i="6"/>
  <c r="H653" i="6"/>
  <c r="H654" i="6"/>
  <c r="H655" i="6"/>
  <c r="H656" i="6"/>
  <c r="H657" i="6"/>
  <c r="H658" i="6"/>
  <c r="H659" i="6"/>
  <c r="H660" i="6"/>
  <c r="H661" i="6"/>
  <c r="H662" i="6"/>
  <c r="H663" i="6"/>
  <c r="H664" i="6"/>
  <c r="H665" i="6"/>
  <c r="H666" i="6"/>
  <c r="H667" i="6"/>
  <c r="H644" i="6"/>
  <c r="H638" i="6"/>
  <c r="H642" i="6"/>
  <c r="H641" i="6"/>
  <c r="H2266" i="6"/>
  <c r="D247" i="5"/>
  <c r="E247" i="5"/>
  <c r="H2212" i="6"/>
  <c r="D267" i="5"/>
  <c r="E267" i="5"/>
  <c r="H1164" i="6"/>
  <c r="H1166" i="6"/>
  <c r="H1173" i="6"/>
  <c r="H1174" i="6"/>
  <c r="H1175" i="6"/>
  <c r="H1176" i="6"/>
  <c r="H1172" i="6"/>
  <c r="H1170" i="6"/>
  <c r="H1171" i="6"/>
  <c r="H1169" i="6"/>
  <c r="H1168" i="6"/>
  <c r="H1167" i="6"/>
  <c r="H1165" i="6"/>
  <c r="H1163" i="6"/>
  <c r="H1160" i="6"/>
  <c r="H1161" i="6"/>
  <c r="H1162" i="6"/>
  <c r="H1159" i="6"/>
  <c r="D333" i="5"/>
  <c r="E333" i="5"/>
  <c r="H2273" i="6"/>
  <c r="H2274" i="6"/>
  <c r="H2275" i="6"/>
  <c r="H2272" i="6"/>
  <c r="D277" i="5"/>
  <c r="E277" i="5"/>
  <c r="H1298" i="6"/>
  <c r="H1297" i="6" s="1"/>
  <c r="G277" i="5" s="1"/>
  <c r="J277" i="5" s="1"/>
  <c r="H1425" i="6"/>
  <c r="H1423" i="6"/>
  <c r="H1422" i="6"/>
  <c r="H1418" i="6"/>
  <c r="H1407" i="6"/>
  <c r="H1408" i="6"/>
  <c r="H1141" i="6"/>
  <c r="H1424" i="6"/>
  <c r="H1421" i="6"/>
  <c r="H1420" i="6"/>
  <c r="H1419" i="6"/>
  <c r="H1417" i="6"/>
  <c r="H1416" i="6"/>
  <c r="H1415" i="6"/>
  <c r="H1414" i="6"/>
  <c r="H1406" i="6"/>
  <c r="H1412" i="6"/>
  <c r="H1413" i="6"/>
  <c r="H1411" i="6"/>
  <c r="H1410" i="6"/>
  <c r="H1409" i="6"/>
  <c r="H1405" i="6"/>
  <c r="H2208" i="6"/>
  <c r="H2201" i="6"/>
  <c r="H1154" i="6"/>
  <c r="F698" i="6"/>
  <c r="F716" i="6"/>
  <c r="H734" i="6"/>
  <c r="H733" i="6" s="1"/>
  <c r="G161" i="5" s="1"/>
  <c r="J161" i="5" s="1"/>
  <c r="H605" i="6"/>
  <c r="F1327" i="6"/>
  <c r="H1327" i="6" s="1"/>
  <c r="H1309" i="6"/>
  <c r="H1076" i="6"/>
  <c r="H1078" i="6"/>
  <c r="H1072" i="6"/>
  <c r="H1071" i="6" s="1"/>
  <c r="G247" i="5" s="1"/>
  <c r="J247" i="5" s="1"/>
  <c r="D57" i="5"/>
  <c r="E57" i="5"/>
  <c r="D58" i="5"/>
  <c r="E58" i="5"/>
  <c r="D59" i="5"/>
  <c r="E59" i="5"/>
  <c r="D60" i="5"/>
  <c r="E60" i="5"/>
  <c r="D61" i="5"/>
  <c r="E61" i="5"/>
  <c r="D62" i="5"/>
  <c r="E62" i="5"/>
  <c r="H423" i="6"/>
  <c r="H422" i="6"/>
  <c r="H410" i="6"/>
  <c r="H411" i="6"/>
  <c r="H412" i="6"/>
  <c r="H413" i="6"/>
  <c r="H414" i="6"/>
  <c r="H415" i="6"/>
  <c r="H416" i="6"/>
  <c r="H417" i="6"/>
  <c r="H418" i="6"/>
  <c r="H419" i="6"/>
  <c r="H420" i="6"/>
  <c r="H409" i="6"/>
  <c r="H407" i="6"/>
  <c r="H397" i="6"/>
  <c r="H398" i="6"/>
  <c r="H399" i="6"/>
  <c r="H400" i="6"/>
  <c r="H401" i="6"/>
  <c r="H402" i="6"/>
  <c r="H403" i="6"/>
  <c r="H404" i="6"/>
  <c r="H405" i="6"/>
  <c r="H406" i="6"/>
  <c r="H396" i="6"/>
  <c r="H381" i="6"/>
  <c r="H379" i="6"/>
  <c r="H380" i="6"/>
  <c r="H391" i="6"/>
  <c r="H392" i="6"/>
  <c r="H393" i="6"/>
  <c r="H394" i="6"/>
  <c r="H377" i="6"/>
  <c r="H387" i="6"/>
  <c r="H388" i="6"/>
  <c r="H389" i="6"/>
  <c r="H390" i="6"/>
  <c r="H375" i="6"/>
  <c r="H376" i="6"/>
  <c r="H378" i="6"/>
  <c r="H374" i="6"/>
  <c r="E315" i="5"/>
  <c r="H372" i="6"/>
  <c r="H373" i="6"/>
  <c r="H386" i="6"/>
  <c r="H385" i="6"/>
  <c r="H371" i="6"/>
  <c r="H384" i="6"/>
  <c r="H383" i="6"/>
  <c r="H370" i="6"/>
  <c r="H368" i="6"/>
  <c r="H367" i="6" s="1"/>
  <c r="G57" i="5" s="1"/>
  <c r="J57" i="5" s="1"/>
  <c r="D228" i="5"/>
  <c r="E228" i="5"/>
  <c r="D219" i="5"/>
  <c r="E219" i="5"/>
  <c r="D220" i="5"/>
  <c r="E220" i="5"/>
  <c r="D221" i="5"/>
  <c r="E221" i="5"/>
  <c r="D222" i="5"/>
  <c r="E222" i="5"/>
  <c r="D223" i="5"/>
  <c r="E223" i="5"/>
  <c r="D224" i="5"/>
  <c r="E224" i="5"/>
  <c r="D225" i="5"/>
  <c r="E225" i="5"/>
  <c r="D226" i="5"/>
  <c r="E226" i="5"/>
  <c r="D227" i="5"/>
  <c r="E227" i="5"/>
  <c r="E218" i="5"/>
  <c r="D218" i="5"/>
  <c r="H867" i="6"/>
  <c r="H866" i="6" s="1"/>
  <c r="G228" i="5" s="1"/>
  <c r="J228" i="5" s="1"/>
  <c r="H865" i="6"/>
  <c r="H864" i="6" s="1"/>
  <c r="G227" i="5" s="1"/>
  <c r="J227" i="5" s="1"/>
  <c r="H863" i="6"/>
  <c r="H862" i="6" s="1"/>
  <c r="G226" i="5" s="1"/>
  <c r="J226" i="5" s="1"/>
  <c r="H861" i="6"/>
  <c r="H860" i="6" s="1"/>
  <c r="G225" i="5" s="1"/>
  <c r="J225" i="5" s="1"/>
  <c r="H859" i="6"/>
  <c r="H858" i="6" s="1"/>
  <c r="G224" i="5" s="1"/>
  <c r="J224" i="5" s="1"/>
  <c r="H857" i="6"/>
  <c r="H856" i="6" s="1"/>
  <c r="G223" i="5" s="1"/>
  <c r="J223" i="5" s="1"/>
  <c r="H855" i="6"/>
  <c r="H854" i="6" s="1"/>
  <c r="G222" i="5" s="1"/>
  <c r="J222" i="5" s="1"/>
  <c r="H853" i="6"/>
  <c r="H852" i="6" s="1"/>
  <c r="G221" i="5" s="1"/>
  <c r="J221" i="5" s="1"/>
  <c r="H851" i="6"/>
  <c r="H850" i="6" s="1"/>
  <c r="G220" i="5" s="1"/>
  <c r="J220" i="5" s="1"/>
  <c r="H849" i="6"/>
  <c r="H848" i="6" s="1"/>
  <c r="G219" i="5" s="1"/>
  <c r="J219" i="5" s="1"/>
  <c r="H847" i="6"/>
  <c r="H846" i="6" s="1"/>
  <c r="G218" i="5" s="1"/>
  <c r="J218" i="5" s="1"/>
  <c r="H321" i="6"/>
  <c r="H322" i="6"/>
  <c r="H314" i="6"/>
  <c r="H637" i="6" l="1"/>
  <c r="G128" i="5" s="1"/>
  <c r="J128" i="5" s="1"/>
  <c r="H643" i="6"/>
  <c r="H640" i="6"/>
  <c r="G129" i="5" s="1"/>
  <c r="J129" i="5" s="1"/>
  <c r="H1158" i="6"/>
  <c r="G267" i="5" s="1"/>
  <c r="J267" i="5" s="1"/>
  <c r="H2271" i="6"/>
  <c r="G333" i="5" s="1"/>
  <c r="J333" i="5" s="1"/>
  <c r="H421" i="6"/>
  <c r="G62" i="5" s="1"/>
  <c r="J62" i="5" s="1"/>
  <c r="H395" i="6"/>
  <c r="G60" i="5" s="1"/>
  <c r="J60" i="5" s="1"/>
  <c r="H382" i="6"/>
  <c r="G59" i="5" s="1"/>
  <c r="J59" i="5" s="1"/>
  <c r="H369" i="6"/>
  <c r="G58" i="5" s="1"/>
  <c r="J58" i="5" s="1"/>
  <c r="H408" i="6"/>
  <c r="J216" i="5"/>
  <c r="H843" i="6"/>
  <c r="H842" i="6" s="1"/>
  <c r="G214" i="5" s="1"/>
  <c r="J214" i="5" s="1"/>
  <c r="H841" i="6"/>
  <c r="H840" i="6" s="1"/>
  <c r="G213" i="5" s="1"/>
  <c r="J213" i="5" s="1"/>
  <c r="H839" i="6"/>
  <c r="H838" i="6" s="1"/>
  <c r="G212" i="5" s="1"/>
  <c r="J212" i="5" s="1"/>
  <c r="H837" i="6"/>
  <c r="H836" i="6" s="1"/>
  <c r="G211" i="5" s="1"/>
  <c r="J211" i="5" s="1"/>
  <c r="H834" i="6"/>
  <c r="H835" i="6"/>
  <c r="H833" i="6"/>
  <c r="H831" i="6"/>
  <c r="H830" i="6"/>
  <c r="D296" i="5"/>
  <c r="E296" i="5"/>
  <c r="H1495" i="6"/>
  <c r="H1494" i="6"/>
  <c r="H2027" i="6"/>
  <c r="H2026" i="6"/>
  <c r="H2025" i="6"/>
  <c r="H2024" i="6"/>
  <c r="H2023" i="6"/>
  <c r="H2022" i="6"/>
  <c r="H2021" i="6"/>
  <c r="H2020" i="6"/>
  <c r="H2019" i="6"/>
  <c r="H2018" i="6"/>
  <c r="H2017" i="6"/>
  <c r="H2016" i="6"/>
  <c r="H2015" i="6"/>
  <c r="H2014" i="6"/>
  <c r="H2013" i="6"/>
  <c r="H1734" i="6"/>
  <c r="H1735" i="6"/>
  <c r="H1736" i="6"/>
  <c r="H1737" i="6"/>
  <c r="H1738" i="6"/>
  <c r="H1739" i="6"/>
  <c r="H1740" i="6"/>
  <c r="H1741" i="6"/>
  <c r="H1742" i="6"/>
  <c r="H1743" i="6"/>
  <c r="H1744" i="6"/>
  <c r="H1745" i="6"/>
  <c r="H1746" i="6"/>
  <c r="H1747" i="6"/>
  <c r="H1748" i="6"/>
  <c r="D234" i="5"/>
  <c r="E234" i="5"/>
  <c r="H1857" i="6"/>
  <c r="H1292" i="6"/>
  <c r="H1280" i="6"/>
  <c r="H1253" i="6"/>
  <c r="H906" i="6"/>
  <c r="H2268" i="6"/>
  <c r="H2267" i="6" s="1"/>
  <c r="D332" i="5"/>
  <c r="E332" i="5"/>
  <c r="H2270" i="6"/>
  <c r="H2269" i="6" s="1"/>
  <c r="G332" i="5" s="1"/>
  <c r="J332" i="5" s="1"/>
  <c r="D266" i="5"/>
  <c r="E266" i="5"/>
  <c r="H1157" i="6"/>
  <c r="H1156" i="6"/>
  <c r="H928" i="6"/>
  <c r="H927" i="6"/>
  <c r="F2012" i="6"/>
  <c r="H2012" i="6" s="1"/>
  <c r="F2011" i="6"/>
  <c r="H2011" i="6" s="1"/>
  <c r="F2010" i="6"/>
  <c r="H2010" i="6" s="1"/>
  <c r="F2009" i="6"/>
  <c r="H2009" i="6" s="1"/>
  <c r="F2008" i="6"/>
  <c r="H2008" i="6" s="1"/>
  <c r="F2007" i="6"/>
  <c r="H2007" i="6" s="1"/>
  <c r="F2006" i="6"/>
  <c r="H2006" i="6" s="1"/>
  <c r="F2004" i="6"/>
  <c r="H2004" i="6" s="1"/>
  <c r="H2003" i="6"/>
  <c r="F2002" i="6"/>
  <c r="H2002" i="6" s="1"/>
  <c r="F2001" i="6"/>
  <c r="H2001" i="6" s="1"/>
  <c r="F2000" i="6"/>
  <c r="H2000" i="6" s="1"/>
  <c r="F1999" i="6"/>
  <c r="H1999" i="6" s="1"/>
  <c r="F1998" i="6"/>
  <c r="H1998" i="6" s="1"/>
  <c r="F1733" i="6"/>
  <c r="H1733" i="6" s="1"/>
  <c r="F1732" i="6"/>
  <c r="H1732" i="6" s="1"/>
  <c r="F1731" i="6"/>
  <c r="H1731" i="6" s="1"/>
  <c r="F1730" i="6"/>
  <c r="H1730" i="6" s="1"/>
  <c r="F1729" i="6"/>
  <c r="H1729" i="6" s="1"/>
  <c r="F1728" i="6"/>
  <c r="H1728" i="6" s="1"/>
  <c r="F1727" i="6"/>
  <c r="H1727" i="6" s="1"/>
  <c r="F1725" i="6"/>
  <c r="H1725" i="6" s="1"/>
  <c r="H1724" i="6"/>
  <c r="F2104" i="6"/>
  <c r="H2104" i="6" s="1"/>
  <c r="F2103" i="6"/>
  <c r="H2103" i="6" s="1"/>
  <c r="F2102" i="6"/>
  <c r="H2102" i="6" s="1"/>
  <c r="F2101" i="6"/>
  <c r="H2101" i="6" s="1"/>
  <c r="F2100" i="6"/>
  <c r="H2100" i="6" s="1"/>
  <c r="F1291" i="6"/>
  <c r="H1291" i="6" s="1"/>
  <c r="F1279" i="6"/>
  <c r="H1279" i="6" s="1"/>
  <c r="F1252" i="6"/>
  <c r="H1252" i="6" s="1"/>
  <c r="F876" i="6"/>
  <c r="H876" i="6" s="1"/>
  <c r="G61" i="5" l="1"/>
  <c r="J61" i="5" s="1"/>
  <c r="G130" i="5"/>
  <c r="J130" i="5" s="1"/>
  <c r="H1493" i="6"/>
  <c r="G296" i="5" s="1"/>
  <c r="J296" i="5" s="1"/>
  <c r="H829" i="6"/>
  <c r="G209" i="5" s="1"/>
  <c r="J209" i="5" s="1"/>
  <c r="H832" i="6"/>
  <c r="G210" i="5" s="1"/>
  <c r="J210" i="5" s="1"/>
  <c r="H1726" i="6"/>
  <c r="H926" i="6"/>
  <c r="G234" i="5" s="1"/>
  <c r="J234" i="5" s="1"/>
  <c r="H1155" i="6"/>
  <c r="G266" i="5" s="1"/>
  <c r="J266" i="5" s="1"/>
  <c r="D253" i="5"/>
  <c r="E253" i="5"/>
  <c r="H1087" i="6"/>
  <c r="H1088" i="6"/>
  <c r="H1089" i="6"/>
  <c r="H1086" i="6"/>
  <c r="D321" i="5"/>
  <c r="E321" i="5"/>
  <c r="D322" i="5"/>
  <c r="E322" i="5"/>
  <c r="H2207" i="6"/>
  <c r="H2206" i="6"/>
  <c r="H2204" i="6"/>
  <c r="H2203" i="6"/>
  <c r="D320" i="5"/>
  <c r="E320" i="5"/>
  <c r="H2199" i="6"/>
  <c r="H2200" i="6"/>
  <c r="H2198" i="6"/>
  <c r="H2197" i="6"/>
  <c r="D264" i="5"/>
  <c r="E264" i="5"/>
  <c r="D265" i="5"/>
  <c r="E265" i="5"/>
  <c r="D263" i="5"/>
  <c r="E263" i="5"/>
  <c r="H1153" i="6"/>
  <c r="H1152" i="6"/>
  <c r="H1150" i="6"/>
  <c r="H1149" i="6" s="1"/>
  <c r="G264" i="5" s="1"/>
  <c r="J264" i="5" s="1"/>
  <c r="H1148" i="6"/>
  <c r="H1147" i="6" s="1"/>
  <c r="G263" i="5" s="1"/>
  <c r="J263" i="5" s="1"/>
  <c r="H2264" i="6"/>
  <c r="H2263" i="6" s="1"/>
  <c r="H2174" i="6"/>
  <c r="H2175" i="6"/>
  <c r="H2176" i="6"/>
  <c r="H2177" i="6"/>
  <c r="H2178" i="6"/>
  <c r="H2179" i="6"/>
  <c r="H2180" i="6"/>
  <c r="H2181" i="6"/>
  <c r="H2173" i="6"/>
  <c r="H2172" i="6"/>
  <c r="H2170" i="6"/>
  <c r="H2171" i="6"/>
  <c r="H2169" i="6"/>
  <c r="H2168" i="6"/>
  <c r="H2167" i="6"/>
  <c r="H2166" i="6"/>
  <c r="H2165" i="6"/>
  <c r="H2164" i="6"/>
  <c r="H2163" i="6"/>
  <c r="H2162" i="6"/>
  <c r="H2161" i="6"/>
  <c r="H2152" i="6"/>
  <c r="H2153" i="6"/>
  <c r="H2154" i="6"/>
  <c r="H2155" i="6"/>
  <c r="H2156" i="6"/>
  <c r="H2157" i="6"/>
  <c r="H2158" i="6"/>
  <c r="H2159" i="6"/>
  <c r="H2160" i="6"/>
  <c r="H2151" i="6"/>
  <c r="H2148" i="6"/>
  <c r="H2149" i="6"/>
  <c r="H2150" i="6"/>
  <c r="H2147" i="6"/>
  <c r="H2145" i="6"/>
  <c r="H2144" i="6"/>
  <c r="H2143" i="6"/>
  <c r="H2134" i="6"/>
  <c r="H2135" i="6"/>
  <c r="H2136" i="6"/>
  <c r="H2137" i="6"/>
  <c r="H2138" i="6"/>
  <c r="H2139" i="6"/>
  <c r="H2140" i="6"/>
  <c r="H2141" i="6"/>
  <c r="H2142" i="6"/>
  <c r="H2133" i="6"/>
  <c r="H2131" i="6"/>
  <c r="H2132" i="6"/>
  <c r="H2130" i="6"/>
  <c r="H2129" i="6"/>
  <c r="E262" i="5"/>
  <c r="D262" i="5"/>
  <c r="H1146" i="6"/>
  <c r="H1145" i="6" s="1"/>
  <c r="H1144" i="6"/>
  <c r="H1143" i="6"/>
  <c r="H1140" i="6"/>
  <c r="H1139" i="6"/>
  <c r="H1138" i="6"/>
  <c r="H1136" i="6"/>
  <c r="H1135" i="6" s="1"/>
  <c r="H1134" i="6"/>
  <c r="H1133" i="6" s="1"/>
  <c r="H1132" i="6"/>
  <c r="H1131" i="6" s="1"/>
  <c r="H1130" i="6"/>
  <c r="H1129" i="6" s="1"/>
  <c r="H1128" i="6"/>
  <c r="H1127" i="6"/>
  <c r="H1125" i="6"/>
  <c r="H1124" i="6" s="1"/>
  <c r="H1123" i="6"/>
  <c r="H1122" i="6" s="1"/>
  <c r="H1121" i="6"/>
  <c r="H1120" i="6"/>
  <c r="H1118" i="6"/>
  <c r="H1117" i="6" s="1"/>
  <c r="E327" i="5"/>
  <c r="E328" i="5"/>
  <c r="E329" i="5"/>
  <c r="E330" i="5"/>
  <c r="E331" i="5"/>
  <c r="E326" i="5"/>
  <c r="D327" i="5"/>
  <c r="D328" i="5"/>
  <c r="D329" i="5"/>
  <c r="D330" i="5"/>
  <c r="D331" i="5"/>
  <c r="D326" i="5"/>
  <c r="E312" i="5"/>
  <c r="E313" i="5"/>
  <c r="E314" i="5"/>
  <c r="E316" i="5"/>
  <c r="E317" i="5"/>
  <c r="E318" i="5"/>
  <c r="E319" i="5"/>
  <c r="E311" i="5"/>
  <c r="D312" i="5"/>
  <c r="D313" i="5"/>
  <c r="D314" i="5"/>
  <c r="D315" i="5"/>
  <c r="D316" i="5"/>
  <c r="D317" i="5"/>
  <c r="D318" i="5"/>
  <c r="D319" i="5"/>
  <c r="D311" i="5"/>
  <c r="G307" i="5"/>
  <c r="G306" i="5"/>
  <c r="E307" i="5"/>
  <c r="E306" i="5"/>
  <c r="D307" i="5"/>
  <c r="D306" i="5"/>
  <c r="E301" i="5"/>
  <c r="E300" i="5"/>
  <c r="D301" i="5"/>
  <c r="D300" i="5"/>
  <c r="E288" i="5"/>
  <c r="E289" i="5"/>
  <c r="E290" i="5"/>
  <c r="E291" i="5"/>
  <c r="E292" i="5"/>
  <c r="E293" i="5"/>
  <c r="E294" i="5"/>
  <c r="E295" i="5"/>
  <c r="E287" i="5"/>
  <c r="D288" i="5"/>
  <c r="D289" i="5"/>
  <c r="D290" i="5"/>
  <c r="D291" i="5"/>
  <c r="D292" i="5"/>
  <c r="D293" i="5"/>
  <c r="D294" i="5"/>
  <c r="D295" i="5"/>
  <c r="D287" i="5"/>
  <c r="E282" i="5"/>
  <c r="E283" i="5"/>
  <c r="E281" i="5"/>
  <c r="D282" i="5"/>
  <c r="D283" i="5"/>
  <c r="D281" i="5"/>
  <c r="E274" i="5"/>
  <c r="E275" i="5"/>
  <c r="E276" i="5"/>
  <c r="E273" i="5"/>
  <c r="D274" i="5"/>
  <c r="D275" i="5"/>
  <c r="D276" i="5"/>
  <c r="D273" i="5"/>
  <c r="E258" i="5"/>
  <c r="E257" i="5"/>
  <c r="D258" i="5"/>
  <c r="D257" i="5"/>
  <c r="E252" i="5"/>
  <c r="E251" i="5"/>
  <c r="D252" i="5"/>
  <c r="D251" i="5"/>
  <c r="E246" i="5"/>
  <c r="D246" i="5"/>
  <c r="E239" i="5"/>
  <c r="E240" i="5"/>
  <c r="E241" i="5"/>
  <c r="E242" i="5"/>
  <c r="E238" i="5"/>
  <c r="D239" i="5"/>
  <c r="D240" i="5"/>
  <c r="D241" i="5"/>
  <c r="D242" i="5"/>
  <c r="D238" i="5"/>
  <c r="E233" i="5"/>
  <c r="E232" i="5"/>
  <c r="D233" i="5"/>
  <c r="D232" i="5"/>
  <c r="E120" i="5"/>
  <c r="E121" i="5"/>
  <c r="E122" i="5"/>
  <c r="E123" i="5"/>
  <c r="E124" i="5"/>
  <c r="E119" i="5"/>
  <c r="D120" i="5"/>
  <c r="D121" i="5"/>
  <c r="D122" i="5"/>
  <c r="D123" i="5"/>
  <c r="D124" i="5"/>
  <c r="D119"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66" i="5"/>
  <c r="D96" i="5"/>
  <c r="D97" i="5"/>
  <c r="D98" i="5"/>
  <c r="D99" i="5"/>
  <c r="D100" i="5"/>
  <c r="D101" i="5"/>
  <c r="D102" i="5"/>
  <c r="D103" i="5"/>
  <c r="D104" i="5"/>
  <c r="D105" i="5"/>
  <c r="D106" i="5"/>
  <c r="D107" i="5"/>
  <c r="D108" i="5"/>
  <c r="D109" i="5"/>
  <c r="D110" i="5"/>
  <c r="D111" i="5"/>
  <c r="D112" i="5"/>
  <c r="D113" i="5"/>
  <c r="D95" i="5"/>
  <c r="D67" i="5"/>
  <c r="D68" i="5"/>
  <c r="D69" i="5"/>
  <c r="D70" i="5"/>
  <c r="D71" i="5"/>
  <c r="D72" i="5"/>
  <c r="D73" i="5"/>
  <c r="D74" i="5"/>
  <c r="D75" i="5"/>
  <c r="D76" i="5"/>
  <c r="D77" i="5"/>
  <c r="D78" i="5"/>
  <c r="D79" i="5"/>
  <c r="D80" i="5"/>
  <c r="D81" i="5"/>
  <c r="D82" i="5"/>
  <c r="D83" i="5"/>
  <c r="D84" i="5"/>
  <c r="D85" i="5"/>
  <c r="D86" i="5"/>
  <c r="D87" i="5"/>
  <c r="D88" i="5"/>
  <c r="D89" i="5"/>
  <c r="D90" i="5"/>
  <c r="D91" i="5"/>
  <c r="D92" i="5"/>
  <c r="D93" i="5"/>
  <c r="D66" i="5"/>
  <c r="E56" i="5"/>
  <c r="D56" i="5"/>
  <c r="E51" i="5"/>
  <c r="E52" i="5"/>
  <c r="D51" i="5"/>
  <c r="D52" i="5"/>
  <c r="E47" i="5"/>
  <c r="E48" i="5"/>
  <c r="E49" i="5"/>
  <c r="E50" i="5"/>
  <c r="E46" i="5"/>
  <c r="D47" i="5"/>
  <c r="D48" i="5"/>
  <c r="D49" i="5"/>
  <c r="D50" i="5"/>
  <c r="D46" i="5"/>
  <c r="E42" i="5"/>
  <c r="E41" i="5"/>
  <c r="D42" i="5"/>
  <c r="D41" i="5"/>
  <c r="E37" i="5"/>
  <c r="D37" i="5"/>
  <c r="G14" i="5"/>
  <c r="E14" i="5"/>
  <c r="E15" i="5"/>
  <c r="E16" i="5"/>
  <c r="E17" i="5"/>
  <c r="E18" i="5"/>
  <c r="E19" i="5"/>
  <c r="E20" i="5"/>
  <c r="E21" i="5"/>
  <c r="E22" i="5"/>
  <c r="E23" i="5"/>
  <c r="E24" i="5"/>
  <c r="E25" i="5"/>
  <c r="E26" i="5"/>
  <c r="E27" i="5"/>
  <c r="E28" i="5"/>
  <c r="E29" i="5"/>
  <c r="E30" i="5"/>
  <c r="E31" i="5"/>
  <c r="E32" i="5"/>
  <c r="E13" i="5"/>
  <c r="D14" i="5"/>
  <c r="D15" i="5"/>
  <c r="D16" i="5"/>
  <c r="D17" i="5"/>
  <c r="D18" i="5"/>
  <c r="D19" i="5"/>
  <c r="D20" i="5"/>
  <c r="D21" i="5"/>
  <c r="D22" i="5"/>
  <c r="D23" i="5"/>
  <c r="D24" i="5"/>
  <c r="D25" i="5"/>
  <c r="D26" i="5"/>
  <c r="D27" i="5"/>
  <c r="D28" i="5"/>
  <c r="D29" i="5"/>
  <c r="D30" i="5"/>
  <c r="D31" i="5"/>
  <c r="D32" i="5"/>
  <c r="D13" i="5"/>
  <c r="H1753" i="6"/>
  <c r="H1752" i="6"/>
  <c r="H1751" i="6"/>
  <c r="H1750" i="6"/>
  <c r="H2108" i="6"/>
  <c r="F2107" i="6"/>
  <c r="H2107" i="6" s="1"/>
  <c r="H2106" i="6"/>
  <c r="H2036" i="6"/>
  <c r="H2034" i="6"/>
  <c r="H2035" i="6"/>
  <c r="H2033" i="6"/>
  <c r="H1296" i="6"/>
  <c r="F1295" i="6"/>
  <c r="H1295" i="6" s="1"/>
  <c r="H1294" i="6"/>
  <c r="H1284" i="6"/>
  <c r="F1283" i="6"/>
  <c r="H1283" i="6" s="1"/>
  <c r="H1282" i="6"/>
  <c r="H1257" i="6"/>
  <c r="H1255" i="6"/>
  <c r="F1264" i="6"/>
  <c r="H1264" i="6" s="1"/>
  <c r="F1256" i="6"/>
  <c r="H1256" i="6" s="1"/>
  <c r="H905" i="6"/>
  <c r="F904" i="6"/>
  <c r="H904" i="6" s="1"/>
  <c r="H903" i="6"/>
  <c r="H2195" i="6"/>
  <c r="H2194" i="6"/>
  <c r="H2193" i="6"/>
  <c r="H2192" i="6"/>
  <c r="H2191" i="6"/>
  <c r="H2190" i="6"/>
  <c r="H2189" i="6"/>
  <c r="H2188" i="6"/>
  <c r="H2187" i="6"/>
  <c r="H2186" i="6"/>
  <c r="H2185" i="6"/>
  <c r="H2184" i="6"/>
  <c r="H2183" i="6"/>
  <c r="H943" i="6"/>
  <c r="H942" i="6" s="1"/>
  <c r="H920" i="6"/>
  <c r="H914" i="6"/>
  <c r="H911" i="6"/>
  <c r="H908" i="6"/>
  <c r="H1377" i="6"/>
  <c r="H1378" i="6"/>
  <c r="H1263" i="6"/>
  <c r="H1262" i="6"/>
  <c r="H1261" i="6"/>
  <c r="H1235" i="6"/>
  <c r="H1236" i="6"/>
  <c r="H874" i="6"/>
  <c r="H875" i="6"/>
  <c r="H1055" i="6"/>
  <c r="H1056" i="6"/>
  <c r="H1054" i="6"/>
  <c r="H872" i="6"/>
  <c r="H873" i="6"/>
  <c r="H871" i="6"/>
  <c r="H1234" i="6"/>
  <c r="H1376" i="6"/>
  <c r="H2099" i="6"/>
  <c r="F2098" i="6"/>
  <c r="H2098" i="6" s="1"/>
  <c r="H1965" i="6"/>
  <c r="F1964" i="6"/>
  <c r="H1964" i="6" s="1"/>
  <c r="H1835" i="6"/>
  <c r="F1834" i="6"/>
  <c r="H1834" i="6" s="1"/>
  <c r="H1050" i="6"/>
  <c r="F1049" i="6"/>
  <c r="H1049" i="6" s="1"/>
  <c r="H1688" i="6"/>
  <c r="F1687" i="6"/>
  <c r="H1687" i="6" s="1"/>
  <c r="H191" i="6"/>
  <c r="F190" i="6"/>
  <c r="H190" i="6" s="1"/>
  <c r="H1963" i="6"/>
  <c r="H1962" i="6"/>
  <c r="F1961" i="6"/>
  <c r="H1961" i="6" s="1"/>
  <c r="H1960" i="6"/>
  <c r="H1959" i="6"/>
  <c r="F1958" i="6"/>
  <c r="H2097" i="6"/>
  <c r="H2096" i="6"/>
  <c r="F2095" i="6"/>
  <c r="H2095" i="6" s="1"/>
  <c r="H2094" i="6"/>
  <c r="H2093" i="6"/>
  <c r="F2092" i="6"/>
  <c r="H1048" i="6"/>
  <c r="H1047" i="6"/>
  <c r="F1046" i="6"/>
  <c r="H1046" i="6" s="1"/>
  <c r="H1045" i="6"/>
  <c r="H1044" i="6"/>
  <c r="F1043" i="6"/>
  <c r="H189" i="6"/>
  <c r="H188" i="6"/>
  <c r="F187" i="6"/>
  <c r="H187" i="6" s="1"/>
  <c r="H186" i="6"/>
  <c r="H185" i="6"/>
  <c r="F184" i="6"/>
  <c r="H1686" i="6"/>
  <c r="H1685" i="6"/>
  <c r="F1684" i="6"/>
  <c r="H1684" i="6" s="1"/>
  <c r="H1683" i="6"/>
  <c r="H1682" i="6"/>
  <c r="F1681" i="6"/>
  <c r="F1828" i="6"/>
  <c r="F1831" i="6"/>
  <c r="H1828" i="6" s="1"/>
  <c r="H1833" i="6"/>
  <c r="H1832" i="6"/>
  <c r="H1830" i="6"/>
  <c r="H1829" i="6"/>
  <c r="H1957" i="6"/>
  <c r="H1956" i="6"/>
  <c r="F1955" i="6"/>
  <c r="H1955" i="6" s="1"/>
  <c r="H1954" i="6"/>
  <c r="H1953" i="6"/>
  <c r="F1952" i="6"/>
  <c r="H1952" i="6" s="1"/>
  <c r="H1827" i="6"/>
  <c r="H1826" i="6"/>
  <c r="F1825" i="6"/>
  <c r="H1825" i="6" s="1"/>
  <c r="H1824" i="6"/>
  <c r="H1823" i="6"/>
  <c r="F1822" i="6"/>
  <c r="H1822" i="6" s="1"/>
  <c r="H1589" i="6"/>
  <c r="H1588" i="6"/>
  <c r="F1587" i="6"/>
  <c r="H1587" i="6" s="1"/>
  <c r="H1586" i="6"/>
  <c r="H1585" i="6"/>
  <c r="F1584" i="6"/>
  <c r="H1584" i="6" s="1"/>
  <c r="H1042" i="6"/>
  <c r="H1041" i="6"/>
  <c r="F1040" i="6"/>
  <c r="H1040" i="6" s="1"/>
  <c r="H1039" i="6"/>
  <c r="H1038" i="6"/>
  <c r="F1037" i="6"/>
  <c r="H1037" i="6" s="1"/>
  <c r="H183" i="6"/>
  <c r="H182" i="6"/>
  <c r="F181" i="6"/>
  <c r="H181" i="6" s="1"/>
  <c r="H180" i="6"/>
  <c r="H179" i="6"/>
  <c r="F178" i="6"/>
  <c r="H178" i="6" s="1"/>
  <c r="F1678" i="6"/>
  <c r="H1678" i="6" s="1"/>
  <c r="H1680" i="6"/>
  <c r="H1679" i="6"/>
  <c r="F1675" i="6"/>
  <c r="H1675" i="6" s="1"/>
  <c r="H1677" i="6"/>
  <c r="H1676" i="6"/>
  <c r="F2120" i="6"/>
  <c r="H2120" i="6" s="1"/>
  <c r="F2118" i="6"/>
  <c r="H2118" i="6" s="1"/>
  <c r="F2113" i="6"/>
  <c r="H2113" i="6" s="1"/>
  <c r="F2115" i="6"/>
  <c r="H2115" i="6" s="1"/>
  <c r="F2110" i="6"/>
  <c r="H2110" i="6" s="1"/>
  <c r="F1667" i="6"/>
  <c r="H1667" i="6" s="1"/>
  <c r="H1668" i="6"/>
  <c r="H1669" i="6"/>
  <c r="H1670" i="6"/>
  <c r="F1671" i="6"/>
  <c r="H1671" i="6" s="1"/>
  <c r="H1672" i="6"/>
  <c r="H1673" i="6"/>
  <c r="H1674" i="6"/>
  <c r="H1951" i="6"/>
  <c r="H1950" i="6"/>
  <c r="H1949" i="6"/>
  <c r="F1948" i="6"/>
  <c r="H1948" i="6" s="1"/>
  <c r="H1947" i="6"/>
  <c r="H1946" i="6"/>
  <c r="H1945" i="6"/>
  <c r="F1944" i="6"/>
  <c r="H1944" i="6" s="1"/>
  <c r="H1821" i="6"/>
  <c r="H1820" i="6"/>
  <c r="F1819" i="6"/>
  <c r="H1819" i="6" s="1"/>
  <c r="H1818" i="6"/>
  <c r="H1817" i="6"/>
  <c r="F1816" i="6"/>
  <c r="H1816" i="6" s="1"/>
  <c r="H1815" i="6"/>
  <c r="H1814" i="6"/>
  <c r="F1813" i="6"/>
  <c r="H1813" i="6" s="1"/>
  <c r="H1812" i="6"/>
  <c r="H1811" i="6"/>
  <c r="F1810" i="6"/>
  <c r="H1810" i="6" s="1"/>
  <c r="H1809" i="6"/>
  <c r="H1808" i="6"/>
  <c r="F1807" i="6"/>
  <c r="H1807" i="6" s="1"/>
  <c r="H1943" i="6"/>
  <c r="H1942" i="6"/>
  <c r="F1941" i="6"/>
  <c r="H1941" i="6" s="1"/>
  <c r="H1940" i="6"/>
  <c r="H1939" i="6"/>
  <c r="F1938" i="6"/>
  <c r="H1938" i="6" s="1"/>
  <c r="H1937" i="6"/>
  <c r="H1936" i="6"/>
  <c r="F1935" i="6"/>
  <c r="H1935" i="6" s="1"/>
  <c r="H1934" i="6"/>
  <c r="H1933" i="6"/>
  <c r="F1932" i="6"/>
  <c r="H1932" i="6" s="1"/>
  <c r="H1931" i="6"/>
  <c r="H1930" i="6"/>
  <c r="F1929" i="6"/>
  <c r="H1929" i="6" s="1"/>
  <c r="H2091" i="6"/>
  <c r="H2090" i="6"/>
  <c r="F2089" i="6"/>
  <c r="H2089" i="6" s="1"/>
  <c r="H2088" i="6"/>
  <c r="H2087" i="6"/>
  <c r="F2086" i="6"/>
  <c r="H2086" i="6" s="1"/>
  <c r="H2085" i="6"/>
  <c r="H2084" i="6"/>
  <c r="F2083" i="6"/>
  <c r="H2083" i="6" s="1"/>
  <c r="H2082" i="6"/>
  <c r="H2081" i="6"/>
  <c r="F2080" i="6"/>
  <c r="H2080" i="6" s="1"/>
  <c r="H2079" i="6"/>
  <c r="H2078" i="6"/>
  <c r="F2077" i="6"/>
  <c r="H2077" i="6" s="1"/>
  <c r="H1036" i="6"/>
  <c r="H1035" i="6"/>
  <c r="F1034" i="6"/>
  <c r="H1034" i="6" s="1"/>
  <c r="H1033" i="6"/>
  <c r="H1032" i="6"/>
  <c r="F1031" i="6"/>
  <c r="H1031" i="6" s="1"/>
  <c r="H1030" i="6"/>
  <c r="H1029" i="6"/>
  <c r="F1028" i="6"/>
  <c r="H1028" i="6" s="1"/>
  <c r="H1027" i="6"/>
  <c r="H1026" i="6"/>
  <c r="F1025" i="6"/>
  <c r="H1025" i="6" s="1"/>
  <c r="H1024" i="6"/>
  <c r="H1023" i="6"/>
  <c r="F1022" i="6"/>
  <c r="H1022" i="6" s="1"/>
  <c r="H1021" i="6"/>
  <c r="H1020" i="6"/>
  <c r="F1019" i="6"/>
  <c r="H1019" i="6" s="1"/>
  <c r="H1018" i="6"/>
  <c r="H1017" i="6"/>
  <c r="H1016" i="6"/>
  <c r="F1015" i="6"/>
  <c r="H1015" i="6" s="1"/>
  <c r="H1014" i="6"/>
  <c r="H1013" i="6"/>
  <c r="H1012" i="6"/>
  <c r="F1011" i="6"/>
  <c r="H1011" i="6" s="1"/>
  <c r="H177" i="6"/>
  <c r="H176" i="6"/>
  <c r="F175" i="6"/>
  <c r="H175" i="6" s="1"/>
  <c r="H174" i="6"/>
  <c r="H173" i="6"/>
  <c r="F172" i="6"/>
  <c r="H172" i="6" s="1"/>
  <c r="H171" i="6"/>
  <c r="H170" i="6"/>
  <c r="F169" i="6"/>
  <c r="H169" i="6" s="1"/>
  <c r="H168" i="6"/>
  <c r="H167" i="6"/>
  <c r="F166" i="6"/>
  <c r="H166" i="6" s="1"/>
  <c r="H165" i="6"/>
  <c r="H164" i="6"/>
  <c r="F163" i="6"/>
  <c r="H163" i="6" s="1"/>
  <c r="F1664" i="6"/>
  <c r="H1664" i="6" s="1"/>
  <c r="H1666" i="6"/>
  <c r="H1665" i="6"/>
  <c r="H1662" i="6"/>
  <c r="H1663" i="6"/>
  <c r="F1661" i="6"/>
  <c r="H1661" i="6" s="1"/>
  <c r="F1658" i="6"/>
  <c r="H1658" i="6" s="1"/>
  <c r="F1655" i="6"/>
  <c r="H1655" i="6" s="1"/>
  <c r="F1652" i="6"/>
  <c r="H1652" i="6" s="1"/>
  <c r="H1660" i="6"/>
  <c r="H1659" i="6"/>
  <c r="H1657" i="6"/>
  <c r="H1656" i="6"/>
  <c r="H1654" i="6"/>
  <c r="H1653" i="6"/>
  <c r="H1928" i="6"/>
  <c r="H1927" i="6"/>
  <c r="F1926" i="6"/>
  <c r="H1926" i="6" s="1"/>
  <c r="H1925" i="6"/>
  <c r="H1924" i="6"/>
  <c r="H1923" i="6"/>
  <c r="F1922" i="6"/>
  <c r="H1922" i="6" s="1"/>
  <c r="H1921" i="6"/>
  <c r="H1920" i="6"/>
  <c r="H1919" i="6"/>
  <c r="F1918" i="6"/>
  <c r="H1918" i="6" s="1"/>
  <c r="H1650" i="6"/>
  <c r="H1651" i="6"/>
  <c r="H1648" i="6"/>
  <c r="H1647" i="6"/>
  <c r="H1646" i="6"/>
  <c r="H1643" i="6"/>
  <c r="H1644" i="6"/>
  <c r="H1642" i="6"/>
  <c r="F1649" i="6"/>
  <c r="H1649" i="6" s="1"/>
  <c r="F1645" i="6"/>
  <c r="H1645" i="6" s="1"/>
  <c r="F1641" i="6"/>
  <c r="H1641" i="6" s="1"/>
  <c r="H1640" i="6"/>
  <c r="H1639" i="6"/>
  <c r="F1638" i="6"/>
  <c r="H1638" i="6" s="1"/>
  <c r="H162" i="6"/>
  <c r="H161" i="6"/>
  <c r="F160" i="6"/>
  <c r="H160" i="6" s="1"/>
  <c r="H1917" i="6"/>
  <c r="H1916" i="6"/>
  <c r="F1915" i="6"/>
  <c r="H1915" i="6" s="1"/>
  <c r="H2076" i="6"/>
  <c r="H2075" i="6"/>
  <c r="F2074" i="6"/>
  <c r="H2074" i="6" s="1"/>
  <c r="H1009" i="6"/>
  <c r="H1010" i="6"/>
  <c r="F1008" i="6"/>
  <c r="H1008" i="6" s="1"/>
  <c r="H2073" i="6"/>
  <c r="F2072" i="6"/>
  <c r="H2072" i="6" s="1"/>
  <c r="H2071" i="6"/>
  <c r="H2070" i="6"/>
  <c r="F2069" i="6"/>
  <c r="H2069" i="6" s="1"/>
  <c r="H2068" i="6"/>
  <c r="H2067" i="6"/>
  <c r="H2066" i="6"/>
  <c r="H2065" i="6"/>
  <c r="H2064" i="6"/>
  <c r="H2063" i="6"/>
  <c r="F2062" i="6"/>
  <c r="H2062" i="6" s="1"/>
  <c r="H1914" i="6"/>
  <c r="F1913" i="6"/>
  <c r="H1913" i="6" s="1"/>
  <c r="H1912" i="6"/>
  <c r="H1911" i="6"/>
  <c r="F1910" i="6"/>
  <c r="H1910" i="6" s="1"/>
  <c r="H1909" i="6"/>
  <c r="H1908" i="6"/>
  <c r="H1907" i="6"/>
  <c r="H1906" i="6"/>
  <c r="H1905" i="6"/>
  <c r="H1904" i="6"/>
  <c r="F1903" i="6"/>
  <c r="H1903" i="6" s="1"/>
  <c r="H1806" i="6"/>
  <c r="F1805" i="6"/>
  <c r="H1805" i="6" s="1"/>
  <c r="H1804" i="6"/>
  <c r="H1803" i="6"/>
  <c r="F1802" i="6"/>
  <c r="H1802" i="6" s="1"/>
  <c r="H1801" i="6"/>
  <c r="H1800" i="6"/>
  <c r="H1799" i="6"/>
  <c r="H1798" i="6"/>
  <c r="H1797" i="6"/>
  <c r="H1796" i="6"/>
  <c r="F1795" i="6"/>
  <c r="H1795" i="6" s="1"/>
  <c r="H957" i="6"/>
  <c r="F956" i="6"/>
  <c r="H956" i="6" s="1"/>
  <c r="H955" i="6"/>
  <c r="H954" i="6"/>
  <c r="F953" i="6"/>
  <c r="H953" i="6" s="1"/>
  <c r="H952" i="6"/>
  <c r="H949" i="6"/>
  <c r="H950" i="6"/>
  <c r="H951" i="6"/>
  <c r="H948" i="6"/>
  <c r="H947" i="6"/>
  <c r="F946" i="6"/>
  <c r="H946" i="6" s="1"/>
  <c r="H2029" i="6"/>
  <c r="H2030" i="6"/>
  <c r="H2031" i="6"/>
  <c r="H2028" i="6"/>
  <c r="F1216" i="6"/>
  <c r="H1216" i="6" s="1"/>
  <c r="H1218" i="6"/>
  <c r="H1217" i="6"/>
  <c r="F1213" i="6"/>
  <c r="H1213" i="6" s="1"/>
  <c r="H1215" i="6"/>
  <c r="H1214" i="6"/>
  <c r="H1278" i="6"/>
  <c r="H1277" i="6"/>
  <c r="H1276" i="6"/>
  <c r="H1275" i="6"/>
  <c r="H1274" i="6"/>
  <c r="F1273" i="6"/>
  <c r="H1273" i="6" s="1"/>
  <c r="H1251" i="6"/>
  <c r="H1250" i="6"/>
  <c r="H1248" i="6"/>
  <c r="H1249" i="6"/>
  <c r="H1247" i="6"/>
  <c r="F1246" i="6"/>
  <c r="H1246" i="6" s="1"/>
  <c r="H2061" i="6"/>
  <c r="H2060" i="6"/>
  <c r="F2059" i="6"/>
  <c r="H2059" i="6" s="1"/>
  <c r="H1902" i="6"/>
  <c r="H1901" i="6"/>
  <c r="F1900" i="6"/>
  <c r="H1900" i="6" s="1"/>
  <c r="H1899" i="6"/>
  <c r="H1898" i="6"/>
  <c r="F1897" i="6"/>
  <c r="H1897" i="6" s="1"/>
  <c r="H1794" i="6"/>
  <c r="H1793" i="6"/>
  <c r="F1792" i="6"/>
  <c r="H1792" i="6" s="1"/>
  <c r="H1583" i="6"/>
  <c r="F1581" i="6"/>
  <c r="H1581" i="6" s="1"/>
  <c r="H1582" i="6"/>
  <c r="H1791" i="6"/>
  <c r="H1790" i="6"/>
  <c r="F1789" i="6"/>
  <c r="H1789" i="6" s="1"/>
  <c r="H1637" i="6"/>
  <c r="H1636" i="6"/>
  <c r="F1635" i="6"/>
  <c r="H1635" i="6" s="1"/>
  <c r="F1005" i="6"/>
  <c r="H1005" i="6" s="1"/>
  <c r="H159" i="6"/>
  <c r="H158" i="6"/>
  <c r="F157" i="6"/>
  <c r="H157" i="6" s="1"/>
  <c r="H1007" i="6"/>
  <c r="H1006" i="6"/>
  <c r="H1004" i="6"/>
  <c r="H1003" i="6"/>
  <c r="F1002" i="6"/>
  <c r="H1002" i="6" s="1"/>
  <c r="H156" i="6"/>
  <c r="H155" i="6"/>
  <c r="F154" i="6"/>
  <c r="H154" i="6" s="1"/>
  <c r="H1634" i="6"/>
  <c r="H1633" i="6"/>
  <c r="F1632" i="6"/>
  <c r="H1632" i="6" s="1"/>
  <c r="H1290" i="6"/>
  <c r="F1289" i="6"/>
  <c r="H1289" i="6" s="1"/>
  <c r="H1272" i="6"/>
  <c r="F1271" i="6"/>
  <c r="H1271" i="6" s="1"/>
  <c r="H1245" i="6"/>
  <c r="F1244" i="6"/>
  <c r="H1244" i="6" s="1"/>
  <c r="F999" i="6"/>
  <c r="H999" i="6" s="1"/>
  <c r="H1788" i="6"/>
  <c r="H1787" i="6"/>
  <c r="F1786" i="6"/>
  <c r="H1786" i="6" s="1"/>
  <c r="H2058" i="6"/>
  <c r="H1896" i="6"/>
  <c r="H1895" i="6"/>
  <c r="F1894" i="6"/>
  <c r="H1894" i="6" s="1"/>
  <c r="F2056" i="6"/>
  <c r="H2056" i="6" s="1"/>
  <c r="H2057" i="6"/>
  <c r="H1893" i="6"/>
  <c r="H1892" i="6"/>
  <c r="F1891" i="6"/>
  <c r="H1891" i="6" s="1"/>
  <c r="H1785" i="6"/>
  <c r="H1784" i="6"/>
  <c r="F1783" i="6"/>
  <c r="H1783" i="6" s="1"/>
  <c r="F1578" i="6"/>
  <c r="H1578" i="6" s="1"/>
  <c r="H1580" i="6"/>
  <c r="H1579" i="6"/>
  <c r="H1001" i="6"/>
  <c r="H1000" i="6"/>
  <c r="F996" i="6"/>
  <c r="H996" i="6" s="1"/>
  <c r="H998" i="6"/>
  <c r="H997" i="6"/>
  <c r="H153" i="6"/>
  <c r="H152" i="6"/>
  <c r="F151" i="6"/>
  <c r="H151" i="6" s="1"/>
  <c r="H1631" i="6"/>
  <c r="H1630" i="6"/>
  <c r="F1629" i="6"/>
  <c r="H1629" i="6" s="1"/>
  <c r="F1270" i="6"/>
  <c r="H1270" i="6" s="1"/>
  <c r="F1288" i="6"/>
  <c r="H1288" i="6" s="1"/>
  <c r="F1243" i="6"/>
  <c r="H1243" i="6" s="1"/>
  <c r="H1782" i="6"/>
  <c r="H1781" i="6"/>
  <c r="F1780" i="6"/>
  <c r="H1780" i="6" s="1"/>
  <c r="H1890" i="6"/>
  <c r="H1889" i="6"/>
  <c r="H1888" i="6"/>
  <c r="H2055" i="6"/>
  <c r="H2054" i="6"/>
  <c r="H2053" i="6"/>
  <c r="H995" i="6"/>
  <c r="H994" i="6"/>
  <c r="H993" i="6"/>
  <c r="H150" i="6"/>
  <c r="H149" i="6"/>
  <c r="H148" i="6"/>
  <c r="H1626" i="6"/>
  <c r="H1628" i="6"/>
  <c r="H1627" i="6"/>
  <c r="H1779" i="6"/>
  <c r="F1778" i="6"/>
  <c r="H1778" i="6" s="1"/>
  <c r="H1777" i="6"/>
  <c r="H1776" i="6"/>
  <c r="F1775" i="6"/>
  <c r="H1775" i="6" s="1"/>
  <c r="H1887" i="6"/>
  <c r="F1886" i="6"/>
  <c r="H1886" i="6" s="1"/>
  <c r="H1885" i="6"/>
  <c r="H1884" i="6"/>
  <c r="F1883" i="6"/>
  <c r="H1883" i="6" s="1"/>
  <c r="H1577" i="6"/>
  <c r="F1576" i="6"/>
  <c r="H1576" i="6" s="1"/>
  <c r="H1575" i="6"/>
  <c r="H1574" i="6"/>
  <c r="F1573" i="6"/>
  <c r="H1573" i="6" s="1"/>
  <c r="H1625" i="6"/>
  <c r="H1624" i="6"/>
  <c r="F1623" i="6"/>
  <c r="H1623" i="6" s="1"/>
  <c r="H1287" i="6"/>
  <c r="F1286" i="6"/>
  <c r="H1286" i="6" s="1"/>
  <c r="H1269" i="6"/>
  <c r="F1268" i="6"/>
  <c r="H1268" i="6" s="1"/>
  <c r="H1242" i="6"/>
  <c r="F1241" i="6"/>
  <c r="H1241" i="6" s="1"/>
  <c r="F990" i="6"/>
  <c r="H990" i="6" s="1"/>
  <c r="H992" i="6"/>
  <c r="H991" i="6"/>
  <c r="H989" i="6"/>
  <c r="H147" i="6"/>
  <c r="H146" i="6"/>
  <c r="F145" i="6"/>
  <c r="H145" i="6" s="1"/>
  <c r="F988" i="6"/>
  <c r="H988" i="6" s="1"/>
  <c r="H1267" i="6"/>
  <c r="H1240" i="6"/>
  <c r="H1604" i="6"/>
  <c r="H1600" i="6"/>
  <c r="F1601" i="6"/>
  <c r="H1601" i="6" s="1"/>
  <c r="H132" i="6"/>
  <c r="F129" i="6"/>
  <c r="H129" i="6" s="1"/>
  <c r="H1266" i="6"/>
  <c r="H1265" i="6"/>
  <c r="F1237" i="6"/>
  <c r="H1237" i="6" s="1"/>
  <c r="H2052" i="6"/>
  <c r="H2051" i="6"/>
  <c r="H2050" i="6"/>
  <c r="H1882" i="6"/>
  <c r="H1881" i="6"/>
  <c r="H1880" i="6"/>
  <c r="H1879" i="6"/>
  <c r="H1878" i="6"/>
  <c r="H1877" i="6"/>
  <c r="H1774" i="6"/>
  <c r="H1773" i="6"/>
  <c r="H1772" i="6"/>
  <c r="H1771" i="6"/>
  <c r="H1770" i="6"/>
  <c r="H1769" i="6"/>
  <c r="H1572" i="6"/>
  <c r="H1571" i="6"/>
  <c r="H1570" i="6"/>
  <c r="H1622" i="6"/>
  <c r="H1621" i="6"/>
  <c r="H1620" i="6"/>
  <c r="H1619" i="6"/>
  <c r="H1618" i="6"/>
  <c r="H1617" i="6"/>
  <c r="H987" i="6"/>
  <c r="H986" i="6"/>
  <c r="H985" i="6"/>
  <c r="H984" i="6"/>
  <c r="H983" i="6"/>
  <c r="H982" i="6"/>
  <c r="H144" i="6"/>
  <c r="H143" i="6"/>
  <c r="H142" i="6"/>
  <c r="H141" i="6"/>
  <c r="H140" i="6"/>
  <c r="H139" i="6"/>
  <c r="H981" i="6"/>
  <c r="H980" i="6"/>
  <c r="H979" i="6"/>
  <c r="H978" i="6"/>
  <c r="H977" i="6"/>
  <c r="H976" i="6"/>
  <c r="H138" i="6"/>
  <c r="H137" i="6"/>
  <c r="H136" i="6"/>
  <c r="H135" i="6"/>
  <c r="H134" i="6"/>
  <c r="H133" i="6"/>
  <c r="H2049" i="6"/>
  <c r="H2048" i="6"/>
  <c r="H2047" i="6"/>
  <c r="F2041" i="6"/>
  <c r="H2041" i="6" s="1"/>
  <c r="F2044" i="6"/>
  <c r="H2044" i="6" s="1"/>
  <c r="F1868" i="6"/>
  <c r="H1868" i="6" s="1"/>
  <c r="H1876" i="6"/>
  <c r="H1875" i="6"/>
  <c r="H1874" i="6"/>
  <c r="H1873" i="6"/>
  <c r="H1872" i="6"/>
  <c r="H1871" i="6"/>
  <c r="F1766" i="6"/>
  <c r="H1766" i="6" s="1"/>
  <c r="H1768" i="6"/>
  <c r="H1767" i="6"/>
  <c r="H1765" i="6"/>
  <c r="H1764" i="6"/>
  <c r="H1763" i="6"/>
  <c r="H1569" i="6"/>
  <c r="H1568" i="6"/>
  <c r="H1567" i="6"/>
  <c r="F1614" i="6"/>
  <c r="H1614" i="6" s="1"/>
  <c r="F1608" i="6"/>
  <c r="H1608" i="6" s="1"/>
  <c r="F1605" i="6"/>
  <c r="H1605" i="6" s="1"/>
  <c r="F1594" i="6"/>
  <c r="H1594" i="6" s="1"/>
  <c r="H1616" i="6"/>
  <c r="H1615" i="6"/>
  <c r="H1613" i="6"/>
  <c r="H1612" i="6"/>
  <c r="H1611" i="6"/>
  <c r="F1865" i="6"/>
  <c r="H1865" i="6" s="1"/>
  <c r="F1762" i="6"/>
  <c r="H1762" i="6" s="1"/>
  <c r="F1761" i="6"/>
  <c r="H1761" i="6" s="1"/>
  <c r="H1870" i="6"/>
  <c r="H1869" i="6"/>
  <c r="H1867" i="6"/>
  <c r="H1866" i="6"/>
  <c r="H2046" i="6"/>
  <c r="H2045" i="6"/>
  <c r="H2043" i="6"/>
  <c r="H2042" i="6"/>
  <c r="H1610" i="6"/>
  <c r="H1609" i="6"/>
  <c r="H1607" i="6"/>
  <c r="H1606" i="6"/>
  <c r="H131" i="6"/>
  <c r="H130" i="6"/>
  <c r="H1603" i="6"/>
  <c r="H1602" i="6"/>
  <c r="F1062" i="6"/>
  <c r="H1062" i="6" s="1"/>
  <c r="H1065" i="6"/>
  <c r="H1064" i="6"/>
  <c r="H1063" i="6"/>
  <c r="F1053" i="6"/>
  <c r="H1053" i="6" s="1"/>
  <c r="H1239" i="6"/>
  <c r="H1238" i="6"/>
  <c r="F1260" i="6"/>
  <c r="H1260" i="6" s="1"/>
  <c r="F1233" i="6"/>
  <c r="H1233" i="6" s="1"/>
  <c r="F1375" i="6"/>
  <c r="H1375" i="6" s="1"/>
  <c r="F1052" i="6"/>
  <c r="H1052" i="6" s="1"/>
  <c r="F1259" i="6"/>
  <c r="H1259" i="6" s="1"/>
  <c r="F1232" i="6"/>
  <c r="H1232" i="6" s="1"/>
  <c r="F1597" i="6"/>
  <c r="H1597" i="6" s="1"/>
  <c r="H1599" i="6"/>
  <c r="H1598" i="6"/>
  <c r="F1058" i="6"/>
  <c r="H1058" i="6" s="1"/>
  <c r="H1061" i="6"/>
  <c r="H1060" i="6"/>
  <c r="H1059" i="6"/>
  <c r="H127" i="6"/>
  <c r="H126" i="6"/>
  <c r="H125" i="6"/>
  <c r="H128" i="6"/>
  <c r="F1374" i="6"/>
  <c r="H1374" i="6" s="1"/>
  <c r="H122" i="6"/>
  <c r="H124" i="6"/>
  <c r="H123" i="6"/>
  <c r="H975" i="6"/>
  <c r="H974" i="6"/>
  <c r="H973" i="6"/>
  <c r="H2039" i="6"/>
  <c r="H2040" i="6"/>
  <c r="H2038" i="6"/>
  <c r="H1759" i="6"/>
  <c r="H1760" i="6"/>
  <c r="H1758" i="6"/>
  <c r="H1863" i="6"/>
  <c r="H1864" i="6"/>
  <c r="H1862" i="6"/>
  <c r="H1595" i="6"/>
  <c r="H1592" i="6"/>
  <c r="H1596" i="6"/>
  <c r="H1861" i="6"/>
  <c r="H1860" i="6"/>
  <c r="H1859" i="6"/>
  <c r="H1757" i="6"/>
  <c r="H1756" i="6"/>
  <c r="H1755" i="6"/>
  <c r="H1564" i="6"/>
  <c r="H1566" i="6"/>
  <c r="H1565" i="6"/>
  <c r="H121" i="6"/>
  <c r="H120" i="6"/>
  <c r="H119" i="6"/>
  <c r="H972" i="6"/>
  <c r="H971" i="6"/>
  <c r="H970" i="6"/>
  <c r="H1593" i="6"/>
  <c r="H1591" i="6"/>
  <c r="H892" i="6"/>
  <c r="H891" i="6" s="1"/>
  <c r="H900" i="6"/>
  <c r="H901" i="6"/>
  <c r="H899" i="6"/>
  <c r="H895" i="6"/>
  <c r="H896" i="6"/>
  <c r="H897" i="6"/>
  <c r="H898" i="6"/>
  <c r="H894" i="6"/>
  <c r="H890" i="6"/>
  <c r="H889" i="6"/>
  <c r="H887" i="6"/>
  <c r="H886" i="6" s="1"/>
  <c r="H885" i="6"/>
  <c r="H884" i="6" s="1"/>
  <c r="H879" i="6"/>
  <c r="H880" i="6"/>
  <c r="H881" i="6"/>
  <c r="H882" i="6"/>
  <c r="H883" i="6"/>
  <c r="H878" i="6"/>
  <c r="F809" i="6"/>
  <c r="F807" i="6"/>
  <c r="F795" i="6"/>
  <c r="F801" i="6"/>
  <c r="H2005" i="6" l="1"/>
  <c r="H2109" i="6"/>
  <c r="J208" i="5"/>
  <c r="H2205" i="6"/>
  <c r="H2196" i="6"/>
  <c r="G320" i="5" s="1"/>
  <c r="J320" i="5" s="1"/>
  <c r="H1151" i="6"/>
  <c r="G265" i="5" s="1"/>
  <c r="J265" i="5" s="1"/>
  <c r="H902" i="6"/>
  <c r="G322" i="5"/>
  <c r="J322" i="5" s="1"/>
  <c r="H1085" i="6"/>
  <c r="G253" i="5" s="1"/>
  <c r="J253" i="5" s="1"/>
  <c r="H2202" i="6"/>
  <c r="G321" i="5" s="1"/>
  <c r="J321" i="5" s="1"/>
  <c r="H1142" i="6"/>
  <c r="H1137" i="6"/>
  <c r="H1119" i="6"/>
  <c r="H1126" i="6"/>
  <c r="H1749" i="6"/>
  <c r="H2032" i="6"/>
  <c r="H2105" i="6"/>
  <c r="H1293" i="6"/>
  <c r="H1285" i="6" s="1"/>
  <c r="H1281" i="6"/>
  <c r="H1258" i="6" s="1"/>
  <c r="H1254" i="6"/>
  <c r="H2182" i="6"/>
  <c r="G319" i="5" s="1"/>
  <c r="J319" i="5" s="1"/>
  <c r="H2128" i="6"/>
  <c r="H2146" i="6"/>
  <c r="H1057" i="6"/>
  <c r="H907" i="6"/>
  <c r="H1051" i="6"/>
  <c r="H1958" i="6"/>
  <c r="H1831" i="6"/>
  <c r="H1754" i="6" s="1"/>
  <c r="H2092" i="6"/>
  <c r="H1043" i="6"/>
  <c r="H969" i="6" s="1"/>
  <c r="H184" i="6"/>
  <c r="H1681" i="6"/>
  <c r="H893" i="6"/>
  <c r="H888" i="6"/>
  <c r="H877" i="6"/>
  <c r="H1083" i="6"/>
  <c r="H1084" i="6"/>
  <c r="H1077" i="6"/>
  <c r="H1075" i="6" s="1"/>
  <c r="H1070" i="6"/>
  <c r="H1069" i="6"/>
  <c r="H565" i="6"/>
  <c r="H564" i="6" s="1"/>
  <c r="H563" i="6"/>
  <c r="H562" i="6" s="1"/>
  <c r="H561" i="6"/>
  <c r="H560" i="6" s="1"/>
  <c r="H559" i="6"/>
  <c r="H558" i="6" s="1"/>
  <c r="F521" i="6"/>
  <c r="H300" i="6"/>
  <c r="H299" i="6" s="1"/>
  <c r="G32" i="5" s="1"/>
  <c r="H1081" i="6"/>
  <c r="H1080" i="6"/>
  <c r="F1082" i="6"/>
  <c r="H1082" i="6" s="1"/>
  <c r="F799" i="6"/>
  <c r="H799" i="6" s="1"/>
  <c r="H798" i="6" s="1"/>
  <c r="G193" i="5" s="1"/>
  <c r="J193" i="5" s="1"/>
  <c r="F797" i="6"/>
  <c r="H797" i="6" s="1"/>
  <c r="H827" i="6"/>
  <c r="H826" i="6" s="1"/>
  <c r="G207" i="5" s="1"/>
  <c r="J207" i="5" s="1"/>
  <c r="H823" i="6"/>
  <c r="H822" i="6" s="1"/>
  <c r="G205" i="5" s="1"/>
  <c r="J205" i="5" s="1"/>
  <c r="F815" i="6"/>
  <c r="H815" i="6" s="1"/>
  <c r="H814" i="6" s="1"/>
  <c r="G201" i="5" s="1"/>
  <c r="J201" i="5" s="1"/>
  <c r="F813" i="6"/>
  <c r="H813" i="6" s="1"/>
  <c r="H812" i="6" s="1"/>
  <c r="G200" i="5" s="1"/>
  <c r="J200" i="5" s="1"/>
  <c r="F821" i="6"/>
  <c r="H821" i="6" s="1"/>
  <c r="H820" i="6" s="1"/>
  <c r="G204" i="5" s="1"/>
  <c r="J204" i="5" s="1"/>
  <c r="F817" i="6"/>
  <c r="H817" i="6" s="1"/>
  <c r="H816" i="6" s="1"/>
  <c r="G202" i="5" s="1"/>
  <c r="J202" i="5" s="1"/>
  <c r="F825" i="6"/>
  <c r="H825" i="6" s="1"/>
  <c r="H824" i="6" s="1"/>
  <c r="G206" i="5" s="1"/>
  <c r="J206" i="5" s="1"/>
  <c r="F819" i="6"/>
  <c r="H819" i="6" s="1"/>
  <c r="H818" i="6" s="1"/>
  <c r="G203" i="5" s="1"/>
  <c r="J203" i="5" s="1"/>
  <c r="H811" i="6"/>
  <c r="H810" i="6" s="1"/>
  <c r="G199" i="5" s="1"/>
  <c r="J199" i="5" s="1"/>
  <c r="H809" i="6"/>
  <c r="H808" i="6" s="1"/>
  <c r="G198" i="5" s="1"/>
  <c r="J198" i="5" s="1"/>
  <c r="H807" i="6"/>
  <c r="H806" i="6" s="1"/>
  <c r="G197" i="5" s="1"/>
  <c r="J197" i="5" s="1"/>
  <c r="H805" i="6"/>
  <c r="H804" i="6" s="1"/>
  <c r="G196" i="5" s="1"/>
  <c r="J196" i="5" s="1"/>
  <c r="H803" i="6"/>
  <c r="H802" i="6" s="1"/>
  <c r="G195" i="5" s="1"/>
  <c r="J195" i="5" s="1"/>
  <c r="H801" i="6"/>
  <c r="H1858" i="6" l="1"/>
  <c r="H870" i="6"/>
  <c r="H1590" i="6"/>
  <c r="H1231" i="6"/>
  <c r="G274" i="5" s="1"/>
  <c r="J274" i="5" s="1"/>
  <c r="H1116" i="6"/>
  <c r="G262" i="5" s="1"/>
  <c r="J262" i="5" s="1"/>
  <c r="J260" i="5" s="1"/>
  <c r="G316" i="5"/>
  <c r="J316" i="5" s="1"/>
  <c r="G313" i="5"/>
  <c r="J313" i="5" s="1"/>
  <c r="G318" i="5"/>
  <c r="J318" i="5" s="1"/>
  <c r="G317" i="5"/>
  <c r="J317" i="5" s="1"/>
  <c r="G233" i="5"/>
  <c r="J233" i="5" s="1"/>
  <c r="G276" i="5"/>
  <c r="J276" i="5" s="1"/>
  <c r="G242" i="5"/>
  <c r="J242" i="5" s="1"/>
  <c r="G240" i="5"/>
  <c r="J240" i="5" s="1"/>
  <c r="G241" i="5"/>
  <c r="J241" i="5" s="1"/>
  <c r="G275" i="5"/>
  <c r="J275" i="5" s="1"/>
  <c r="G112" i="5"/>
  <c r="J112" i="5" s="1"/>
  <c r="G113" i="5"/>
  <c r="J113" i="5" s="1"/>
  <c r="G114" i="5"/>
  <c r="J114" i="5" s="1"/>
  <c r="G111" i="5"/>
  <c r="J111" i="5" s="1"/>
  <c r="H2037" i="6"/>
  <c r="J32" i="5"/>
  <c r="H1068" i="6"/>
  <c r="G251" i="5"/>
  <c r="H1079" i="6"/>
  <c r="G252" i="5" s="1"/>
  <c r="G312" i="5" l="1"/>
  <c r="J312" i="5" s="1"/>
  <c r="G315" i="5"/>
  <c r="J315" i="5" s="1"/>
  <c r="G314" i="5"/>
  <c r="J314" i="5" s="1"/>
  <c r="G246" i="5"/>
  <c r="J246" i="5" s="1"/>
  <c r="J244" i="5" s="1"/>
  <c r="G232" i="5"/>
  <c r="J232" i="5" s="1"/>
  <c r="J230" i="5" s="1"/>
  <c r="J252" i="5"/>
  <c r="J251" i="5"/>
  <c r="H796" i="6"/>
  <c r="G192" i="5" s="1"/>
  <c r="J192" i="5" s="1"/>
  <c r="H795" i="6"/>
  <c r="H794" i="6" s="1"/>
  <c r="G191" i="5" s="1"/>
  <c r="J191" i="5" s="1"/>
  <c r="H800" i="6"/>
  <c r="G194" i="5" s="1"/>
  <c r="J194" i="5" s="1"/>
  <c r="H557" i="6"/>
  <c r="H556" i="6" s="1"/>
  <c r="H555" i="6"/>
  <c r="H554" i="6" s="1"/>
  <c r="H553" i="6"/>
  <c r="H552" i="6" s="1"/>
  <c r="H551" i="6"/>
  <c r="H550" i="6" s="1"/>
  <c r="H549" i="6"/>
  <c r="H548" i="6" s="1"/>
  <c r="H547" i="6"/>
  <c r="H546" i="6" s="1"/>
  <c r="H545" i="6"/>
  <c r="H544" i="6" s="1"/>
  <c r="H543" i="6"/>
  <c r="H542" i="6" s="1"/>
  <c r="H541" i="6"/>
  <c r="H540" i="6" s="1"/>
  <c r="H539" i="6"/>
  <c r="H538" i="6" s="1"/>
  <c r="H537" i="6"/>
  <c r="H536" i="6" s="1"/>
  <c r="H535" i="6"/>
  <c r="H534" i="6" s="1"/>
  <c r="H533" i="6"/>
  <c r="H532" i="6" s="1"/>
  <c r="H531" i="6"/>
  <c r="H530" i="6" s="1"/>
  <c r="H529" i="6"/>
  <c r="H528" i="6" s="1"/>
  <c r="H527" i="6"/>
  <c r="H526" i="6" s="1"/>
  <c r="H525" i="6"/>
  <c r="H524" i="6" s="1"/>
  <c r="H523" i="6"/>
  <c r="H522" i="6" s="1"/>
  <c r="H521" i="6"/>
  <c r="H520" i="6" s="1"/>
  <c r="H519" i="6"/>
  <c r="H518" i="6" s="1"/>
  <c r="H517" i="6"/>
  <c r="H516" i="6" s="1"/>
  <c r="H515" i="6"/>
  <c r="H514" i="6" s="1"/>
  <c r="H513" i="6"/>
  <c r="H512" i="6" s="1"/>
  <c r="H511" i="6"/>
  <c r="H510" i="6" s="1"/>
  <c r="H509" i="6"/>
  <c r="H508" i="6" s="1"/>
  <c r="H507" i="6"/>
  <c r="H506" i="6" s="1"/>
  <c r="H505" i="6"/>
  <c r="H504" i="6" s="1"/>
  <c r="H503" i="6"/>
  <c r="H502" i="6" s="1"/>
  <c r="H501" i="6"/>
  <c r="H500" i="6" s="1"/>
  <c r="H499" i="6"/>
  <c r="H498" i="6" s="1"/>
  <c r="H497" i="6"/>
  <c r="H496" i="6" s="1"/>
  <c r="H495" i="6"/>
  <c r="H494" i="6" s="1"/>
  <c r="H493" i="6"/>
  <c r="H492" i="6" s="1"/>
  <c r="H491" i="6"/>
  <c r="H490" i="6" s="1"/>
  <c r="H489" i="6"/>
  <c r="H488" i="6" s="1"/>
  <c r="H487" i="6"/>
  <c r="H486" i="6" s="1"/>
  <c r="H485" i="6"/>
  <c r="H484" i="6" s="1"/>
  <c r="H483" i="6"/>
  <c r="H482" i="6" s="1"/>
  <c r="H481" i="6"/>
  <c r="H480" i="6" s="1"/>
  <c r="H479" i="6"/>
  <c r="H478" i="6" s="1"/>
  <c r="H477" i="6"/>
  <c r="H476" i="6" s="1"/>
  <c r="H475" i="6"/>
  <c r="H474" i="6" s="1"/>
  <c r="H472" i="6"/>
  <c r="H471" i="6"/>
  <c r="H470" i="6" s="1"/>
  <c r="J190" i="5" l="1"/>
  <c r="J249" i="5"/>
  <c r="G69" i="5"/>
  <c r="J69" i="5" s="1"/>
  <c r="G73" i="5"/>
  <c r="J73" i="5" s="1"/>
  <c r="G77" i="5"/>
  <c r="J77" i="5" s="1"/>
  <c r="G81" i="5"/>
  <c r="J81" i="5" s="1"/>
  <c r="G85" i="5"/>
  <c r="J85" i="5" s="1"/>
  <c r="G89" i="5"/>
  <c r="J89" i="5" s="1"/>
  <c r="G93" i="5"/>
  <c r="J93" i="5" s="1"/>
  <c r="G97" i="5"/>
  <c r="J97" i="5" s="1"/>
  <c r="G101" i="5"/>
  <c r="J101" i="5" s="1"/>
  <c r="G105" i="5"/>
  <c r="J105" i="5" s="1"/>
  <c r="G109" i="5"/>
  <c r="J109" i="5" s="1"/>
  <c r="G70" i="5"/>
  <c r="J70" i="5" s="1"/>
  <c r="G74" i="5"/>
  <c r="J74" i="5" s="1"/>
  <c r="G78" i="5"/>
  <c r="J78" i="5" s="1"/>
  <c r="G82" i="5"/>
  <c r="J82" i="5" s="1"/>
  <c r="G86" i="5"/>
  <c r="J86" i="5" s="1"/>
  <c r="G90" i="5"/>
  <c r="J90" i="5" s="1"/>
  <c r="G94" i="5"/>
  <c r="J94" i="5" s="1"/>
  <c r="G98" i="5"/>
  <c r="J98" i="5" s="1"/>
  <c r="G102" i="5"/>
  <c r="J102" i="5" s="1"/>
  <c r="G106" i="5"/>
  <c r="J106" i="5" s="1"/>
  <c r="G110" i="5"/>
  <c r="J110" i="5" s="1"/>
  <c r="G67" i="5"/>
  <c r="J67" i="5" s="1"/>
  <c r="G71" i="5"/>
  <c r="J71" i="5" s="1"/>
  <c r="G75" i="5"/>
  <c r="J75" i="5" s="1"/>
  <c r="G79" i="5"/>
  <c r="J79" i="5" s="1"/>
  <c r="G83" i="5"/>
  <c r="J83" i="5" s="1"/>
  <c r="G87" i="5"/>
  <c r="J87" i="5" s="1"/>
  <c r="G91" i="5"/>
  <c r="J91" i="5" s="1"/>
  <c r="G95" i="5"/>
  <c r="J95" i="5" s="1"/>
  <c r="G99" i="5"/>
  <c r="J99" i="5" s="1"/>
  <c r="G103" i="5"/>
  <c r="J103" i="5" s="1"/>
  <c r="G107" i="5"/>
  <c r="J107" i="5" s="1"/>
  <c r="G68" i="5"/>
  <c r="J68" i="5" s="1"/>
  <c r="G72" i="5"/>
  <c r="J72" i="5" s="1"/>
  <c r="G76" i="5"/>
  <c r="J76" i="5" s="1"/>
  <c r="G80" i="5"/>
  <c r="J80" i="5" s="1"/>
  <c r="G84" i="5"/>
  <c r="J84" i="5" s="1"/>
  <c r="G88" i="5"/>
  <c r="J88" i="5" s="1"/>
  <c r="G92" i="5"/>
  <c r="J92" i="5" s="1"/>
  <c r="G96" i="5"/>
  <c r="J96" i="5" s="1"/>
  <c r="G100" i="5"/>
  <c r="J100" i="5" s="1"/>
  <c r="G104" i="5"/>
  <c r="J104" i="5" s="1"/>
  <c r="G108" i="5"/>
  <c r="J108" i="5" s="1"/>
  <c r="H786" i="6"/>
  <c r="H785" i="6" s="1"/>
  <c r="G187" i="5" s="1"/>
  <c r="J187" i="5" s="1"/>
  <c r="H784" i="6"/>
  <c r="H783" i="6" s="1"/>
  <c r="G186" i="5" s="1"/>
  <c r="J186" i="5" s="1"/>
  <c r="H782" i="6"/>
  <c r="H781" i="6" s="1"/>
  <c r="G185" i="5" s="1"/>
  <c r="J185" i="5" s="1"/>
  <c r="H780" i="6"/>
  <c r="H779" i="6" s="1"/>
  <c r="G184" i="5" s="1"/>
  <c r="J184" i="5" s="1"/>
  <c r="H778" i="6"/>
  <c r="H777" i="6" s="1"/>
  <c r="G183" i="5" s="1"/>
  <c r="J183" i="5" s="1"/>
  <c r="H776" i="6"/>
  <c r="H775" i="6" s="1"/>
  <c r="G182" i="5" s="1"/>
  <c r="J182" i="5" s="1"/>
  <c r="H774" i="6"/>
  <c r="H773" i="6" s="1"/>
  <c r="G181" i="5" s="1"/>
  <c r="J181" i="5" s="1"/>
  <c r="H772" i="6"/>
  <c r="H771" i="6" s="1"/>
  <c r="G180" i="5" s="1"/>
  <c r="J180" i="5" s="1"/>
  <c r="H768" i="6"/>
  <c r="H767" i="6" s="1"/>
  <c r="G178" i="5" s="1"/>
  <c r="J178" i="5" s="1"/>
  <c r="H766" i="6"/>
  <c r="H765" i="6" s="1"/>
  <c r="G177" i="5" s="1"/>
  <c r="J177" i="5" s="1"/>
  <c r="H764" i="6"/>
  <c r="H763" i="6" s="1"/>
  <c r="G176" i="5" s="1"/>
  <c r="J176" i="5" s="1"/>
  <c r="H762" i="6"/>
  <c r="H761" i="6" s="1"/>
  <c r="G175" i="5" s="1"/>
  <c r="J175" i="5" s="1"/>
  <c r="H760" i="6"/>
  <c r="H759" i="6" s="1"/>
  <c r="G174" i="5" s="1"/>
  <c r="J174" i="5" s="1"/>
  <c r="H758" i="6"/>
  <c r="H757" i="6" s="1"/>
  <c r="G173" i="5" s="1"/>
  <c r="J173" i="5" s="1"/>
  <c r="H754" i="6"/>
  <c r="H753" i="6" s="1"/>
  <c r="G171" i="5" s="1"/>
  <c r="J171" i="5" s="1"/>
  <c r="F770" i="6"/>
  <c r="H770" i="6" s="1"/>
  <c r="H769" i="6" s="1"/>
  <c r="G179" i="5" s="1"/>
  <c r="J179" i="5" s="1"/>
  <c r="F756" i="6"/>
  <c r="H756" i="6" s="1"/>
  <c r="H755" i="6" s="1"/>
  <c r="G172" i="5" s="1"/>
  <c r="J172" i="5" s="1"/>
  <c r="F746" i="6"/>
  <c r="H746" i="6" s="1"/>
  <c r="H745" i="6" s="1"/>
  <c r="G167" i="5" s="1"/>
  <c r="J167" i="5" s="1"/>
  <c r="H742" i="6"/>
  <c r="H741" i="6" s="1"/>
  <c r="G165" i="5" s="1"/>
  <c r="J165" i="5" s="1"/>
  <c r="F740" i="6"/>
  <c r="H740" i="6" s="1"/>
  <c r="H739" i="6" s="1"/>
  <c r="G164" i="5" s="1"/>
  <c r="J164" i="5" s="1"/>
  <c r="H730" i="6"/>
  <c r="H729" i="6" s="1"/>
  <c r="G159" i="5" s="1"/>
  <c r="J159" i="5" s="1"/>
  <c r="H750" i="6"/>
  <c r="H749" i="6" s="1"/>
  <c r="G169" i="5" s="1"/>
  <c r="J169" i="5" s="1"/>
  <c r="H748" i="6"/>
  <c r="H747" i="6" s="1"/>
  <c r="G168" i="5" s="1"/>
  <c r="J168" i="5" s="1"/>
  <c r="F744" i="6"/>
  <c r="H744" i="6" s="1"/>
  <c r="H743" i="6" s="1"/>
  <c r="G166" i="5" s="1"/>
  <c r="J166" i="5" s="1"/>
  <c r="H732" i="6"/>
  <c r="H731" i="6" s="1"/>
  <c r="G160" i="5" s="1"/>
  <c r="J160" i="5" s="1"/>
  <c r="H728" i="6"/>
  <c r="H727" i="6" s="1"/>
  <c r="G158" i="5" s="1"/>
  <c r="J158" i="5" s="1"/>
  <c r="H726" i="6"/>
  <c r="H725" i="6" s="1"/>
  <c r="G157" i="5" s="1"/>
  <c r="J157" i="5" s="1"/>
  <c r="H724" i="6"/>
  <c r="H723" i="6" s="1"/>
  <c r="G156" i="5" s="1"/>
  <c r="J156" i="5" s="1"/>
  <c r="H722" i="6"/>
  <c r="H721" i="6" s="1"/>
  <c r="G155" i="5" s="1"/>
  <c r="J155" i="5" s="1"/>
  <c r="H720" i="6"/>
  <c r="H719" i="6" s="1"/>
  <c r="G154" i="5" s="1"/>
  <c r="J154" i="5" s="1"/>
  <c r="H718" i="6"/>
  <c r="H717" i="6" s="1"/>
  <c r="G153" i="5" s="1"/>
  <c r="J153" i="5" s="1"/>
  <c r="H716" i="6"/>
  <c r="H715" i="6" s="1"/>
  <c r="G152" i="5" s="1"/>
  <c r="J152" i="5" s="1"/>
  <c r="H714" i="6"/>
  <c r="H713" i="6" s="1"/>
  <c r="G151" i="5" s="1"/>
  <c r="J151" i="5" s="1"/>
  <c r="H712" i="6"/>
  <c r="H711" i="6" s="1"/>
  <c r="G150" i="5" s="1"/>
  <c r="J150" i="5" s="1"/>
  <c r="H710" i="6"/>
  <c r="H709" i="6" s="1"/>
  <c r="G149" i="5" s="1"/>
  <c r="J149" i="5" s="1"/>
  <c r="H708" i="6"/>
  <c r="H707" i="6" s="1"/>
  <c r="G148" i="5" s="1"/>
  <c r="J148" i="5" s="1"/>
  <c r="H706" i="6"/>
  <c r="H705" i="6" s="1"/>
  <c r="G147" i="5" s="1"/>
  <c r="J147" i="5" s="1"/>
  <c r="H704" i="6"/>
  <c r="H703" i="6" s="1"/>
  <c r="G146" i="5" s="1"/>
  <c r="J146" i="5" s="1"/>
  <c r="H702" i="6"/>
  <c r="H701" i="6" s="1"/>
  <c r="G145" i="5" s="1"/>
  <c r="J145" i="5" s="1"/>
  <c r="H700" i="6"/>
  <c r="H699" i="6" s="1"/>
  <c r="G144" i="5" s="1"/>
  <c r="J144" i="5" s="1"/>
  <c r="J307" i="5"/>
  <c r="J306" i="5"/>
  <c r="H336" i="6"/>
  <c r="J14" i="5"/>
  <c r="H698" i="6"/>
  <c r="H697" i="6" s="1"/>
  <c r="G143" i="5" s="1"/>
  <c r="J143" i="5" s="1"/>
  <c r="H696" i="6"/>
  <c r="H695" i="6" s="1"/>
  <c r="G142" i="5" s="1"/>
  <c r="J142" i="5" s="1"/>
  <c r="H694" i="6"/>
  <c r="H693" i="6" s="1"/>
  <c r="G141" i="5" s="1"/>
  <c r="J141" i="5" s="1"/>
  <c r="H692" i="6"/>
  <c r="H691" i="6" s="1"/>
  <c r="G140" i="5" s="1"/>
  <c r="J140" i="5" s="1"/>
  <c r="H690" i="6"/>
  <c r="H689" i="6" s="1"/>
  <c r="G139" i="5" s="1"/>
  <c r="J139" i="5" s="1"/>
  <c r="H636" i="6"/>
  <c r="H635" i="6"/>
  <c r="H634" i="6"/>
  <c r="H633" i="6"/>
  <c r="H632" i="6"/>
  <c r="H631" i="6"/>
  <c r="H599" i="6"/>
  <c r="H600" i="6"/>
  <c r="H601" i="6"/>
  <c r="H602" i="6"/>
  <c r="H603" i="6"/>
  <c r="H604" i="6"/>
  <c r="H583" i="6"/>
  <c r="H584" i="6"/>
  <c r="H585" i="6"/>
  <c r="H586" i="6"/>
  <c r="H587" i="6"/>
  <c r="H588" i="6"/>
  <c r="H589" i="6"/>
  <c r="H590" i="6"/>
  <c r="H591"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9" i="6"/>
  <c r="H468" i="6"/>
  <c r="H467" i="6"/>
  <c r="H466" i="6"/>
  <c r="H465" i="6"/>
  <c r="H296" i="6"/>
  <c r="H295" i="6"/>
  <c r="H281" i="6"/>
  <c r="H280" i="6"/>
  <c r="H279" i="6"/>
  <c r="H243" i="6"/>
  <c r="H244" i="6"/>
  <c r="H245" i="6"/>
  <c r="H254" i="6"/>
  <c r="H255" i="6"/>
  <c r="H256" i="6"/>
  <c r="H257" i="6"/>
  <c r="H258" i="6"/>
  <c r="H284" i="6"/>
  <c r="H285" i="6"/>
  <c r="H286" i="6"/>
  <c r="H287" i="6"/>
  <c r="H288" i="6"/>
  <c r="H289" i="6"/>
  <c r="H290" i="6"/>
  <c r="H291" i="6"/>
  <c r="H292" i="6"/>
  <c r="H293" i="6"/>
  <c r="H294" i="6"/>
  <c r="H283" i="6"/>
  <c r="H272" i="6"/>
  <c r="H278" i="6"/>
  <c r="H277" i="6"/>
  <c r="H276" i="6"/>
  <c r="H275" i="6"/>
  <c r="H274" i="6"/>
  <c r="H273" i="6"/>
  <c r="H271" i="6"/>
  <c r="H270" i="6"/>
  <c r="H263" i="6"/>
  <c r="H269" i="6"/>
  <c r="H268" i="6"/>
  <c r="H267" i="6"/>
  <c r="H266" i="6"/>
  <c r="H265" i="6"/>
  <c r="H264" i="6"/>
  <c r="H262" i="6"/>
  <c r="H261" i="6"/>
  <c r="H260" i="6"/>
  <c r="H228" i="6"/>
  <c r="H229" i="6"/>
  <c r="H230" i="6"/>
  <c r="H231" i="6"/>
  <c r="H232" i="6"/>
  <c r="H233" i="6"/>
  <c r="H234" i="6"/>
  <c r="H235" i="6"/>
  <c r="H236" i="6"/>
  <c r="H237" i="6"/>
  <c r="H238" i="6"/>
  <c r="H239" i="6"/>
  <c r="H240" i="6"/>
  <c r="H241" i="6"/>
  <c r="H242" i="6"/>
  <c r="H246" i="6"/>
  <c r="H247" i="6"/>
  <c r="H248" i="6"/>
  <c r="H249" i="6"/>
  <c r="H250" i="6"/>
  <c r="H251" i="6"/>
  <c r="H252" i="6"/>
  <c r="H253" i="6"/>
  <c r="H227" i="6"/>
  <c r="J304" i="5" l="1"/>
  <c r="J163" i="5"/>
  <c r="H582" i="6"/>
  <c r="H334" i="6"/>
  <c r="G46" i="5" s="1"/>
  <c r="J46" i="5" s="1"/>
  <c r="H335" i="6"/>
  <c r="H426" i="6"/>
  <c r="G66" i="5" s="1"/>
  <c r="H282" i="6"/>
  <c r="H259" i="6"/>
  <c r="H226" i="6"/>
  <c r="H111" i="6"/>
  <c r="H110" i="6"/>
  <c r="H109" i="6"/>
  <c r="F108" i="6"/>
  <c r="H108" i="6" s="1"/>
  <c r="H107" i="6"/>
  <c r="H106" i="6"/>
  <c r="H105" i="6"/>
  <c r="H104" i="6"/>
  <c r="H103" i="6"/>
  <c r="H102" i="6"/>
  <c r="H1211" i="6"/>
  <c r="H1210" i="6"/>
  <c r="H1212" i="6"/>
  <c r="F1209" i="6"/>
  <c r="H1209" i="6" s="1"/>
  <c r="H1203" i="6"/>
  <c r="H1206" i="6"/>
  <c r="H1208" i="6"/>
  <c r="H1207" i="6"/>
  <c r="H1205" i="6"/>
  <c r="H1204" i="6"/>
  <c r="H968" i="6"/>
  <c r="H967" i="6" s="1"/>
  <c r="H1563" i="6"/>
  <c r="H1562" i="6" s="1"/>
  <c r="H945" i="6"/>
  <c r="H944" i="6" s="1"/>
  <c r="H118" i="6"/>
  <c r="H117" i="6" s="1"/>
  <c r="H116" i="6"/>
  <c r="H115" i="6" s="1"/>
  <c r="H966" i="6"/>
  <c r="H965" i="6" s="1"/>
  <c r="H964" i="6"/>
  <c r="H963" i="6" s="1"/>
  <c r="H962" i="6"/>
  <c r="H961" i="6" s="1"/>
  <c r="H960" i="6"/>
  <c r="H959" i="6" s="1"/>
  <c r="H1561" i="6"/>
  <c r="H1560" i="6" s="1"/>
  <c r="H1559" i="6"/>
  <c r="H1558" i="6" s="1"/>
  <c r="H1557" i="6"/>
  <c r="H1556" i="6" s="1"/>
  <c r="H1555" i="6"/>
  <c r="H1554" i="6" s="1"/>
  <c r="H939" i="6"/>
  <c r="H938" i="6" s="1"/>
  <c r="H941" i="6"/>
  <c r="H940" i="6" s="1"/>
  <c r="H937" i="6"/>
  <c r="H936" i="6" s="1"/>
  <c r="H362" i="6"/>
  <c r="H361" i="6" s="1"/>
  <c r="H364" i="6"/>
  <c r="H363" i="6" s="1"/>
  <c r="H366" i="6"/>
  <c r="H365" i="6" s="1"/>
  <c r="H360" i="6"/>
  <c r="H359" i="6" s="1"/>
  <c r="H1553" i="6"/>
  <c r="H1552" i="6" s="1"/>
  <c r="H1551" i="6"/>
  <c r="H1550" i="6" s="1"/>
  <c r="H935" i="6"/>
  <c r="H934" i="6" s="1"/>
  <c r="H933" i="6"/>
  <c r="H932" i="6" s="1"/>
  <c r="H114" i="6"/>
  <c r="H113" i="6" s="1"/>
  <c r="H2253" i="6"/>
  <c r="H2254" i="6"/>
  <c r="H2256" i="6"/>
  <c r="H2257" i="6"/>
  <c r="H2258" i="6"/>
  <c r="H2259" i="6"/>
  <c r="H2260" i="6"/>
  <c r="H2261" i="6"/>
  <c r="H2262" i="6"/>
  <c r="H2252" i="6"/>
  <c r="G2255" i="6"/>
  <c r="H2255" i="6" s="1"/>
  <c r="H598" i="6"/>
  <c r="H597" i="6"/>
  <c r="H596" i="6"/>
  <c r="H595" i="6"/>
  <c r="H594" i="6"/>
  <c r="H593" i="6"/>
  <c r="H624" i="6"/>
  <c r="H630" i="6"/>
  <c r="H629" i="6"/>
  <c r="H628" i="6"/>
  <c r="H627" i="6"/>
  <c r="H626" i="6"/>
  <c r="H608" i="6"/>
  <c r="H609" i="6"/>
  <c r="H610" i="6"/>
  <c r="H611" i="6"/>
  <c r="H612" i="6"/>
  <c r="H613" i="6"/>
  <c r="H614" i="6"/>
  <c r="H615" i="6"/>
  <c r="H616" i="6"/>
  <c r="H617" i="6"/>
  <c r="H620" i="6"/>
  <c r="H621" i="6"/>
  <c r="H622" i="6"/>
  <c r="H623" i="6"/>
  <c r="H619" i="6"/>
  <c r="H607" i="6"/>
  <c r="H581" i="6"/>
  <c r="H580" i="6"/>
  <c r="H575" i="6"/>
  <c r="H576" i="6"/>
  <c r="H577" i="6"/>
  <c r="H578" i="6"/>
  <c r="H574" i="6"/>
  <c r="H572" i="6"/>
  <c r="H571" i="6" s="1"/>
  <c r="H570" i="6"/>
  <c r="H569" i="6"/>
  <c r="H2248" i="6"/>
  <c r="H2249" i="6"/>
  <c r="H2240" i="6"/>
  <c r="H2250" i="6"/>
  <c r="H2244" i="6"/>
  <c r="H2243" i="6"/>
  <c r="H2245" i="6"/>
  <c r="H2246" i="6"/>
  <c r="H2237" i="6"/>
  <c r="H2238" i="6"/>
  <c r="H2239" i="6"/>
  <c r="H2231" i="6"/>
  <c r="H2232" i="6"/>
  <c r="H2233" i="6"/>
  <c r="H2234" i="6"/>
  <c r="H2235" i="6"/>
  <c r="H2241" i="6"/>
  <c r="H2230" i="6"/>
  <c r="H1194" i="6"/>
  <c r="H1193" i="6"/>
  <c r="F1326" i="6"/>
  <c r="H1326" i="6" s="1"/>
  <c r="F1325" i="6"/>
  <c r="H1325" i="6" s="1"/>
  <c r="H1314" i="6"/>
  <c r="H1313" i="6"/>
  <c r="H219" i="6"/>
  <c r="H218" i="6"/>
  <c r="F1324" i="6"/>
  <c r="H1324" i="6" s="1"/>
  <c r="F1323" i="6"/>
  <c r="H1323" i="6" s="1"/>
  <c r="G1383" i="6"/>
  <c r="F1322" i="6"/>
  <c r="H1322" i="6" s="1"/>
  <c r="F1321" i="6"/>
  <c r="H1321" i="6" s="1"/>
  <c r="F1320" i="6"/>
  <c r="H1320" i="6" s="1"/>
  <c r="F1319" i="6"/>
  <c r="H1319" i="6" s="1"/>
  <c r="F1318" i="6"/>
  <c r="H1318" i="6" s="1"/>
  <c r="F1317" i="6"/>
  <c r="H1317" i="6" s="1"/>
  <c r="F1316" i="6"/>
  <c r="H1316" i="6" s="1"/>
  <c r="H1303" i="6"/>
  <c r="H1304" i="6"/>
  <c r="H1305" i="6"/>
  <c r="H1311" i="6"/>
  <c r="H1312" i="6"/>
  <c r="H1306" i="6"/>
  <c r="H1307" i="6"/>
  <c r="H1308" i="6"/>
  <c r="H1302" i="6"/>
  <c r="H1537" i="6"/>
  <c r="H1536" i="6"/>
  <c r="H1535" i="6"/>
  <c r="H1534" i="6"/>
  <c r="H1533" i="6"/>
  <c r="H1532" i="6"/>
  <c r="H1531" i="6"/>
  <c r="H1530" i="6"/>
  <c r="H1529" i="6"/>
  <c r="H1528" i="6"/>
  <c r="H1527" i="6"/>
  <c r="H1526" i="6"/>
  <c r="H1525" i="6"/>
  <c r="H1524" i="6"/>
  <c r="H1523" i="6"/>
  <c r="H1522" i="6"/>
  <c r="H1521" i="6"/>
  <c r="H1520" i="6"/>
  <c r="H1519" i="6"/>
  <c r="H1517" i="6"/>
  <c r="H1516" i="6"/>
  <c r="H1515" i="6"/>
  <c r="H1514" i="6"/>
  <c r="H1513" i="6"/>
  <c r="H1512" i="6"/>
  <c r="H1511" i="6"/>
  <c r="H1510" i="6"/>
  <c r="H1509" i="6"/>
  <c r="H1508" i="6"/>
  <c r="H1507" i="6"/>
  <c r="H1506" i="6"/>
  <c r="H1505" i="6"/>
  <c r="H1504" i="6"/>
  <c r="H1503" i="6"/>
  <c r="H1502" i="6"/>
  <c r="H1501" i="6"/>
  <c r="H1500" i="6"/>
  <c r="H1499" i="6"/>
  <c r="H327" i="6"/>
  <c r="H1103" i="6"/>
  <c r="H1104" i="6"/>
  <c r="H1105" i="6"/>
  <c r="H1106" i="6"/>
  <c r="H1107" i="6"/>
  <c r="H1108" i="6"/>
  <c r="H1109" i="6"/>
  <c r="H1110" i="6"/>
  <c r="H1111" i="6"/>
  <c r="H1112" i="6"/>
  <c r="H1113" i="6"/>
  <c r="H1102" i="6"/>
  <c r="H1094" i="6"/>
  <c r="H1095" i="6"/>
  <c r="H1096" i="6"/>
  <c r="H1097" i="6"/>
  <c r="H1098" i="6"/>
  <c r="H1099" i="6"/>
  <c r="H1100" i="6"/>
  <c r="H1093" i="6"/>
  <c r="H1491" i="6"/>
  <c r="H1492" i="6"/>
  <c r="F1487" i="6"/>
  <c r="H1487" i="6" s="1"/>
  <c r="F1488" i="6"/>
  <c r="H1488" i="6" s="1"/>
  <c r="H1484" i="6"/>
  <c r="H1486" i="6"/>
  <c r="H1489" i="6"/>
  <c r="H1490" i="6"/>
  <c r="H1483" i="6"/>
  <c r="F1485" i="6"/>
  <c r="H1485" i="6" s="1"/>
  <c r="H1461" i="6"/>
  <c r="H1462" i="6"/>
  <c r="H1463" i="6"/>
  <c r="H1467" i="6"/>
  <c r="H1468" i="6"/>
  <c r="H1469" i="6"/>
  <c r="H1471" i="6"/>
  <c r="H1473" i="6"/>
  <c r="H1475" i="6"/>
  <c r="H1476" i="6"/>
  <c r="H1477" i="6"/>
  <c r="H1478" i="6"/>
  <c r="H1479" i="6"/>
  <c r="H1481" i="6"/>
  <c r="F1466" i="6"/>
  <c r="H1466" i="6" s="1"/>
  <c r="F1460" i="6"/>
  <c r="H1460" i="6" s="1"/>
  <c r="F1480" i="6"/>
  <c r="H1480" i="6" s="1"/>
  <c r="F1474" i="6"/>
  <c r="H1474" i="6" s="1"/>
  <c r="F1472" i="6"/>
  <c r="H1472" i="6" s="1"/>
  <c r="F1470" i="6"/>
  <c r="H1470" i="6" s="1"/>
  <c r="F1465" i="6"/>
  <c r="H1465" i="6" s="1"/>
  <c r="F1464" i="6"/>
  <c r="H1464" i="6" s="1"/>
  <c r="H1458" i="6"/>
  <c r="H1456" i="6"/>
  <c r="H1454" i="6"/>
  <c r="H1452" i="6"/>
  <c r="H1450" i="6"/>
  <c r="H1448" i="6"/>
  <c r="H1442" i="6"/>
  <c r="H1440" i="6"/>
  <c r="H1438" i="6"/>
  <c r="H1432" i="6"/>
  <c r="H1430" i="6"/>
  <c r="H1428" i="6"/>
  <c r="F1437" i="6"/>
  <c r="H1437" i="6" s="1"/>
  <c r="F1434" i="6"/>
  <c r="H1434" i="6" s="1"/>
  <c r="F1457" i="6"/>
  <c r="H1457" i="6" s="1"/>
  <c r="F1453" i="6"/>
  <c r="H1453" i="6" s="1"/>
  <c r="F1449" i="6"/>
  <c r="H1449" i="6" s="1"/>
  <c r="F1447" i="6"/>
  <c r="H1447" i="6" s="1"/>
  <c r="F1431" i="6"/>
  <c r="H1431" i="6" s="1"/>
  <c r="F1446" i="6"/>
  <c r="H1446" i="6" s="1"/>
  <c r="F1444" i="6"/>
  <c r="H1444" i="6" s="1"/>
  <c r="F1439" i="6"/>
  <c r="H1439" i="6" s="1"/>
  <c r="F1435" i="6"/>
  <c r="H1435" i="6" s="1"/>
  <c r="F1436" i="6"/>
  <c r="H1436" i="6" s="1"/>
  <c r="F1433" i="6"/>
  <c r="H1433" i="6" s="1"/>
  <c r="F1427" i="6"/>
  <c r="H1427" i="6" s="1"/>
  <c r="F1455" i="6"/>
  <c r="H1455" i="6" s="1"/>
  <c r="F1451" i="6"/>
  <c r="H1451" i="6" s="1"/>
  <c r="F1445" i="6"/>
  <c r="H1445" i="6" s="1"/>
  <c r="F1443" i="6"/>
  <c r="H1443" i="6" s="1"/>
  <c r="F1441" i="6"/>
  <c r="H1441" i="6" s="1"/>
  <c r="F1429" i="6"/>
  <c r="H1429" i="6" s="1"/>
  <c r="H1372" i="6"/>
  <c r="H1373" i="6"/>
  <c r="H1365" i="6"/>
  <c r="H1366" i="6"/>
  <c r="H1367" i="6"/>
  <c r="H1368" i="6"/>
  <c r="H1369" i="6"/>
  <c r="H1370" i="6"/>
  <c r="H1371" i="6"/>
  <c r="H1364" i="6"/>
  <c r="H1362" i="6"/>
  <c r="H1361" i="6"/>
  <c r="H1360" i="6"/>
  <c r="H1359" i="6"/>
  <c r="H1358" i="6"/>
  <c r="H1357" i="6"/>
  <c r="H1402" i="6"/>
  <c r="H1396" i="6"/>
  <c r="H1397" i="6"/>
  <c r="H1398" i="6"/>
  <c r="H1399" i="6"/>
  <c r="H1400" i="6"/>
  <c r="H1401" i="6"/>
  <c r="H1403" i="6"/>
  <c r="H1404" i="6"/>
  <c r="H1393" i="6"/>
  <c r="F1390" i="6"/>
  <c r="H1390" i="6" s="1"/>
  <c r="F1389" i="6"/>
  <c r="H1389" i="6" s="1"/>
  <c r="F1394" i="6"/>
  <c r="H1394" i="6" s="1"/>
  <c r="F1395" i="6"/>
  <c r="H1395" i="6" s="1"/>
  <c r="F1388" i="6"/>
  <c r="H1388" i="6" s="1"/>
  <c r="H1386" i="6"/>
  <c r="H1387" i="6"/>
  <c r="H1391" i="6"/>
  <c r="H1392" i="6"/>
  <c r="H1385" i="6"/>
  <c r="F355" i="6"/>
  <c r="H355" i="6" s="1"/>
  <c r="H352" i="6"/>
  <c r="H351" i="6" s="1"/>
  <c r="F349" i="6"/>
  <c r="H349" i="6" s="1"/>
  <c r="H348" i="6" s="1"/>
  <c r="H345" i="6"/>
  <c r="F342" i="6"/>
  <c r="H342" i="6" s="1"/>
  <c r="H339" i="6"/>
  <c r="H330" i="6"/>
  <c r="H1196" i="6"/>
  <c r="H1197" i="6"/>
  <c r="H1198" i="6"/>
  <c r="F1199" i="6"/>
  <c r="H1199" i="6" s="1"/>
  <c r="H1202" i="6"/>
  <c r="H1201" i="6"/>
  <c r="H1200" i="6"/>
  <c r="F1195" i="6"/>
  <c r="H1195" i="6" s="1"/>
  <c r="H1189" i="6"/>
  <c r="H1188" i="6"/>
  <c r="H1191" i="6"/>
  <c r="H1192" i="6"/>
  <c r="H1187" i="6"/>
  <c r="F1190" i="6"/>
  <c r="H1190" i="6" s="1"/>
  <c r="F1383" i="6"/>
  <c r="F1382" i="6"/>
  <c r="H1382" i="6" s="1"/>
  <c r="H1381" i="6"/>
  <c r="H1380" i="6"/>
  <c r="H1351" i="6"/>
  <c r="H1352" i="6"/>
  <c r="H1353" i="6"/>
  <c r="H1355" i="6"/>
  <c r="H1356" i="6"/>
  <c r="F1354" i="6"/>
  <c r="H1354" i="6" s="1"/>
  <c r="H1349" i="6"/>
  <c r="H1350" i="6"/>
  <c r="H1348" i="6"/>
  <c r="H202" i="6"/>
  <c r="H101" i="6"/>
  <c r="H100" i="6"/>
  <c r="H96" i="6"/>
  <c r="H95" i="6"/>
  <c r="H1346" i="6"/>
  <c r="H1345" i="6"/>
  <c r="H1344" i="6"/>
  <c r="H1343" i="6"/>
  <c r="H1342" i="6"/>
  <c r="H1335" i="6"/>
  <c r="H1336" i="6"/>
  <c r="H1337" i="6"/>
  <c r="H1338" i="6"/>
  <c r="H1339" i="6"/>
  <c r="H1340" i="6"/>
  <c r="H1341" i="6"/>
  <c r="H1334" i="6"/>
  <c r="H1332" i="6"/>
  <c r="H1331" i="6"/>
  <c r="H320" i="6"/>
  <c r="H319" i="6"/>
  <c r="H318" i="6"/>
  <c r="H308" i="6"/>
  <c r="H309" i="6"/>
  <c r="H310" i="6"/>
  <c r="H311" i="6"/>
  <c r="H312" i="6"/>
  <c r="H313" i="6"/>
  <c r="H315" i="6"/>
  <c r="H316" i="6"/>
  <c r="H317" i="6"/>
  <c r="H307" i="6"/>
  <c r="H298" i="6"/>
  <c r="H297" i="6" s="1"/>
  <c r="H225" i="6"/>
  <c r="H224" i="6" s="1"/>
  <c r="F223" i="6"/>
  <c r="H223" i="6" s="1"/>
  <c r="F222" i="6"/>
  <c r="H222" i="6" s="1"/>
  <c r="H217" i="6"/>
  <c r="H220" i="6"/>
  <c r="H215" i="6"/>
  <c r="F216" i="6"/>
  <c r="H216" i="6" s="1"/>
  <c r="H213" i="6"/>
  <c r="H212" i="6"/>
  <c r="F210" i="6"/>
  <c r="H210" i="6" s="1"/>
  <c r="H206" i="6"/>
  <c r="H207" i="6"/>
  <c r="H208" i="6"/>
  <c r="H205" i="6"/>
  <c r="H199" i="6"/>
  <c r="H200" i="6"/>
  <c r="H201" i="6"/>
  <c r="H203" i="6"/>
  <c r="F196" i="6"/>
  <c r="H196" i="6" s="1"/>
  <c r="H193" i="6"/>
  <c r="H195" i="6"/>
  <c r="H197" i="6"/>
  <c r="H198" i="6"/>
  <c r="F194" i="6"/>
  <c r="H194" i="6" s="1"/>
  <c r="F97" i="6"/>
  <c r="H97" i="6" s="1"/>
  <c r="F92" i="6"/>
  <c r="H92" i="6" s="1"/>
  <c r="F91" i="6"/>
  <c r="H91" i="6" s="1"/>
  <c r="H99" i="6"/>
  <c r="H94" i="6"/>
  <c r="H98" i="6"/>
  <c r="H93" i="6"/>
  <c r="H45" i="6"/>
  <c r="H44" i="6"/>
  <c r="H43" i="6"/>
  <c r="H41" i="6"/>
  <c r="H38" i="6"/>
  <c r="H35" i="6"/>
  <c r="H29" i="6"/>
  <c r="H27" i="6"/>
  <c r="H24" i="6"/>
  <c r="H1549" i="6" l="1"/>
  <c r="H1384" i="6"/>
  <c r="H592" i="6"/>
  <c r="H1315" i="6"/>
  <c r="H1301" i="6"/>
  <c r="H306" i="6"/>
  <c r="H112" i="6"/>
  <c r="H353" i="6"/>
  <c r="G52" i="5" s="1"/>
  <c r="J52" i="5" s="1"/>
  <c r="H354" i="6"/>
  <c r="H343" i="6"/>
  <c r="G49" i="5" s="1"/>
  <c r="J49" i="5" s="1"/>
  <c r="H344" i="6"/>
  <c r="H358" i="6"/>
  <c r="H340" i="6"/>
  <c r="G48" i="5" s="1"/>
  <c r="H341" i="6"/>
  <c r="H325" i="6"/>
  <c r="G41" i="5" s="1"/>
  <c r="J41" i="5" s="1"/>
  <c r="H326" i="6"/>
  <c r="H328" i="6"/>
  <c r="G42" i="5" s="1"/>
  <c r="J42" i="5" s="1"/>
  <c r="H329" i="6"/>
  <c r="H337" i="6"/>
  <c r="H338" i="6"/>
  <c r="G30" i="5"/>
  <c r="J30" i="5" s="1"/>
  <c r="G27" i="5"/>
  <c r="J27" i="5" s="1"/>
  <c r="G47" i="5"/>
  <c r="J47" i="5" s="1"/>
  <c r="G120" i="5"/>
  <c r="J120" i="5" s="1"/>
  <c r="G29" i="5"/>
  <c r="J29" i="5" s="1"/>
  <c r="G31" i="5"/>
  <c r="J31" i="5" s="1"/>
  <c r="G28" i="5"/>
  <c r="J28" i="5" s="1"/>
  <c r="G123" i="5"/>
  <c r="J123" i="5" s="1"/>
  <c r="G311" i="5"/>
  <c r="H1363" i="6"/>
  <c r="H1498" i="6"/>
  <c r="H2242" i="6"/>
  <c r="H2247" i="6"/>
  <c r="H2236" i="6"/>
  <c r="H1347" i="6"/>
  <c r="H1459" i="6"/>
  <c r="H1482" i="6"/>
  <c r="H1186" i="6"/>
  <c r="H1101" i="6"/>
  <c r="H1518" i="6"/>
  <c r="H1310" i="6"/>
  <c r="H931" i="6"/>
  <c r="G238" i="5" s="1"/>
  <c r="H958" i="6"/>
  <c r="J66" i="5"/>
  <c r="J64" i="5" s="1"/>
  <c r="H347" i="6"/>
  <c r="G50" i="5" s="1"/>
  <c r="J50" i="5" s="1"/>
  <c r="H625" i="6"/>
  <c r="G127" i="5" s="1"/>
  <c r="H90" i="6"/>
  <c r="H2251" i="6"/>
  <c r="H618" i="6"/>
  <c r="G126" i="5" s="1"/>
  <c r="H606" i="6"/>
  <c r="G125" i="5" s="1"/>
  <c r="H568" i="6"/>
  <c r="H579" i="6"/>
  <c r="H573" i="6"/>
  <c r="H1092" i="6"/>
  <c r="H1426" i="6"/>
  <c r="H350" i="6"/>
  <c r="H1383" i="6"/>
  <c r="H1379" i="6" s="1"/>
  <c r="G291" i="5" s="1"/>
  <c r="H1333" i="6"/>
  <c r="H1330" i="6"/>
  <c r="H211" i="6"/>
  <c r="H221" i="6"/>
  <c r="H214" i="6"/>
  <c r="H204" i="6"/>
  <c r="H192" i="6"/>
  <c r="J39" i="5" l="1"/>
  <c r="G293" i="5"/>
  <c r="J293" i="5" s="1"/>
  <c r="G301" i="5"/>
  <c r="J301" i="5" s="1"/>
  <c r="G295" i="5"/>
  <c r="J295" i="5" s="1"/>
  <c r="G300" i="5"/>
  <c r="J300" i="5" s="1"/>
  <c r="G294" i="5"/>
  <c r="J294" i="5" s="1"/>
  <c r="G290" i="5"/>
  <c r="J290" i="5" s="1"/>
  <c r="G288" i="5"/>
  <c r="J288" i="5" s="1"/>
  <c r="G287" i="5"/>
  <c r="J287" i="5" s="1"/>
  <c r="G292" i="5"/>
  <c r="J292" i="5" s="1"/>
  <c r="G328" i="5"/>
  <c r="J328" i="5" s="1"/>
  <c r="G289" i="5"/>
  <c r="J289" i="5" s="1"/>
  <c r="G257" i="5"/>
  <c r="J257" i="5" s="1"/>
  <c r="G258" i="5"/>
  <c r="J258" i="5" s="1"/>
  <c r="G283" i="5"/>
  <c r="J283" i="5" s="1"/>
  <c r="G273" i="5"/>
  <c r="J273" i="5" s="1"/>
  <c r="J271" i="5" s="1"/>
  <c r="G239" i="5"/>
  <c r="J239" i="5" s="1"/>
  <c r="G282" i="5"/>
  <c r="J282" i="5" s="1"/>
  <c r="G281" i="5"/>
  <c r="J281" i="5" s="1"/>
  <c r="G25" i="5"/>
  <c r="J25" i="5" s="1"/>
  <c r="G122" i="5"/>
  <c r="J122" i="5" s="1"/>
  <c r="G119" i="5"/>
  <c r="J119" i="5" s="1"/>
  <c r="G21" i="5"/>
  <c r="J21" i="5" s="1"/>
  <c r="G24" i="5"/>
  <c r="J24" i="5" s="1"/>
  <c r="G19" i="5"/>
  <c r="J19" i="5" s="1"/>
  <c r="G20" i="5"/>
  <c r="J20" i="5" s="1"/>
  <c r="G26" i="5"/>
  <c r="J26" i="5" s="1"/>
  <c r="G56" i="5"/>
  <c r="J56" i="5" s="1"/>
  <c r="J54" i="5" s="1"/>
  <c r="J125" i="5"/>
  <c r="G22" i="5"/>
  <c r="J22" i="5" s="1"/>
  <c r="G37" i="5"/>
  <c r="J37" i="5" s="1"/>
  <c r="J48" i="5"/>
  <c r="G51" i="5"/>
  <c r="J51" i="5" s="1"/>
  <c r="G121" i="5"/>
  <c r="J121" i="5" s="1"/>
  <c r="J126" i="5"/>
  <c r="G124" i="5"/>
  <c r="J124" i="5" s="1"/>
  <c r="J127" i="5"/>
  <c r="H2229" i="6"/>
  <c r="J311" i="5"/>
  <c r="J309" i="5" s="1"/>
  <c r="J238" i="5"/>
  <c r="J236" i="5" s="1"/>
  <c r="F84" i="6"/>
  <c r="H209" i="6"/>
  <c r="J44" i="5" l="1"/>
  <c r="J118" i="5"/>
  <c r="J116" i="5" s="1"/>
  <c r="G327" i="5"/>
  <c r="J327" i="5" s="1"/>
  <c r="G326" i="5"/>
  <c r="J326" i="5" s="1"/>
  <c r="J279" i="5"/>
  <c r="J255" i="5"/>
  <c r="G23" i="5"/>
  <c r="J23" i="5" s="1"/>
  <c r="H88" i="6"/>
  <c r="H87" i="6"/>
  <c r="H86" i="6"/>
  <c r="H73" i="6"/>
  <c r="H74" i="6"/>
  <c r="H75" i="6"/>
  <c r="H76" i="6"/>
  <c r="H77" i="6"/>
  <c r="H78" i="6"/>
  <c r="H79" i="6"/>
  <c r="H80" i="6"/>
  <c r="H81" i="6"/>
  <c r="H82" i="6"/>
  <c r="H83" i="6"/>
  <c r="H84" i="6"/>
  <c r="H85" i="6"/>
  <c r="H89" i="6"/>
  <c r="H72" i="6"/>
  <c r="H63" i="6"/>
  <c r="H68" i="6"/>
  <c r="H67" i="6"/>
  <c r="H66" i="6"/>
  <c r="H65" i="6"/>
  <c r="H64" i="6"/>
  <c r="H70" i="6"/>
  <c r="H62" i="6"/>
  <c r="H61" i="6"/>
  <c r="H60" i="6"/>
  <c r="H59" i="6"/>
  <c r="H58" i="6"/>
  <c r="H57" i="6"/>
  <c r="H56" i="6"/>
  <c r="H55" i="6"/>
  <c r="H53" i="6"/>
  <c r="H52" i="6"/>
  <c r="H51" i="6"/>
  <c r="H50" i="6"/>
  <c r="H48" i="6"/>
  <c r="H47" i="6"/>
  <c r="H42" i="6"/>
  <c r="H40" i="6"/>
  <c r="H37" i="6"/>
  <c r="H30" i="6"/>
  <c r="H28" i="6"/>
  <c r="H31" i="6"/>
  <c r="H32" i="6"/>
  <c r="H33" i="6"/>
  <c r="H34" i="6"/>
  <c r="H36" i="6"/>
  <c r="H39" i="6"/>
  <c r="H46" i="6"/>
  <c r="H49" i="6"/>
  <c r="H26" i="6"/>
  <c r="H25" i="6"/>
  <c r="H23" i="6"/>
  <c r="H71" i="6" l="1"/>
  <c r="H54" i="6"/>
  <c r="H15" i="6"/>
  <c r="H16" i="6"/>
  <c r="H14" i="6"/>
  <c r="H13" i="6"/>
  <c r="G17" i="5" l="1"/>
  <c r="J17" i="5" s="1"/>
  <c r="G18" i="5"/>
  <c r="J18" i="5" s="1"/>
  <c r="H12" i="6"/>
  <c r="G13" i="5" l="1"/>
  <c r="J13" i="5" s="1"/>
  <c r="G331" i="5" l="1"/>
  <c r="J331" i="5" s="1"/>
  <c r="H2265" i="6" l="1"/>
  <c r="G330" i="5" l="1"/>
  <c r="J330" i="5" s="1"/>
  <c r="G329" i="5"/>
  <c r="J329" i="5" s="1"/>
  <c r="J324" i="5" l="1"/>
  <c r="J298" i="5" l="1"/>
  <c r="H22" i="6"/>
  <c r="H21" i="6" s="1"/>
  <c r="H20" i="6"/>
  <c r="G16" i="5" l="1"/>
  <c r="J16" i="5" s="1"/>
  <c r="H19" i="6"/>
  <c r="G15" i="5" l="1"/>
  <c r="J15" i="5" s="1"/>
  <c r="J11" i="5" s="1"/>
  <c r="J291" i="5" l="1"/>
  <c r="J285" i="5" s="1"/>
  <c r="L273" i="5" l="1"/>
  <c r="J35" i="5" l="1"/>
  <c r="J337" i="5" s="1"/>
  <c r="J338" i="5" l="1"/>
  <c r="J339" i="5" s="1"/>
</calcChain>
</file>

<file path=xl/sharedStrings.xml><?xml version="1.0" encoding="utf-8"?>
<sst xmlns="http://schemas.openxmlformats.org/spreadsheetml/2006/main" count="6159" uniqueCount="1289">
  <si>
    <t>PREFEITURA MUNICIPAL DE CATALÃO</t>
  </si>
  <si>
    <t>ITEM</t>
  </si>
  <si>
    <t xml:space="preserve">DESCRIÇÃO </t>
  </si>
  <si>
    <t>UNID.</t>
  </si>
  <si>
    <t>MATERIAL</t>
  </si>
  <si>
    <t>MÃO DE OBRA</t>
  </si>
  <si>
    <t>TOTAL</t>
  </si>
  <si>
    <t>TOTAL :</t>
  </si>
  <si>
    <t>TOTAL COM BDI :</t>
  </si>
  <si>
    <t>TOTAIS</t>
  </si>
  <si>
    <t>________________________________</t>
  </si>
  <si>
    <t>1.1</t>
  </si>
  <si>
    <t>1.2</t>
  </si>
  <si>
    <t>1.3</t>
  </si>
  <si>
    <t>1.4</t>
  </si>
  <si>
    <t>1.5</t>
  </si>
  <si>
    <t>un.</t>
  </si>
  <si>
    <t>2.1</t>
  </si>
  <si>
    <t>3.1</t>
  </si>
  <si>
    <t>4.1</t>
  </si>
  <si>
    <t>1.6</t>
  </si>
  <si>
    <t>6.1</t>
  </si>
  <si>
    <t>7.1</t>
  </si>
  <si>
    <t>14.1</t>
  </si>
  <si>
    <t>m²</t>
  </si>
  <si>
    <t>MEMÓRIA DE CÁLCULO</t>
  </si>
  <si>
    <t>COMPRIMENTO (M)</t>
  </si>
  <si>
    <t>LARGURA (M)</t>
  </si>
  <si>
    <t>3.2</t>
  </si>
  <si>
    <t>m</t>
  </si>
  <si>
    <t>SINAPI</t>
  </si>
  <si>
    <t>ALTURA (M)</t>
  </si>
  <si>
    <t>GRUPO DE SERVIÇO 170: INSTALAÇÃO HIDROSSANITÁRIA</t>
  </si>
  <si>
    <t>7.2</t>
  </si>
  <si>
    <t>GRUPO DE SERVIÇO 164: SERVIÇOS PRELIMINARES</t>
  </si>
  <si>
    <t>DEMOLICAO COBERTURA TELHA CERAMICA C/ TRANSP. ATÉ CB. E CARGA</t>
  </si>
  <si>
    <t>DEMOLICAO-COBERTURA TELHA FIBROCIMENTO/FIBRA DE VIDRO/SIMILARES C/ TRANSP. ATÉ CB. E CARGA</t>
  </si>
  <si>
    <t>DEMOLIÇÃO ESTRUTURA EM MADEIRA TELHADO C/ TRANSP. ATÉ CB. E CARGA</t>
  </si>
  <si>
    <t>GRUPO DE SERVIÇO: SERVIÇOS PRELIMINARES</t>
  </si>
  <si>
    <t>COMPRIMENTO  (M)</t>
  </si>
  <si>
    <t>GRUPO DE SERVIÇO 165: TRANSPORTES</t>
  </si>
  <si>
    <t>GRUPO DE SERVIÇO 166: SERVIÇOS EM TERRA</t>
  </si>
  <si>
    <t>GRUPO DE SERVIÇO 167: FUNDAÇÕES E SONDAGENS</t>
  </si>
  <si>
    <t>QUANTIDADE</t>
  </si>
  <si>
    <t>GRUPO DE SERVIÇO 168: ESTRUTURAS</t>
  </si>
  <si>
    <t>GRUPO DE SERVIÇO 169: INST. ELÉT./TELEFÔNICA/CABEAMENTO ESTRUTURADO</t>
  </si>
  <si>
    <t>1.7</t>
  </si>
  <si>
    <t>GRUPO DE SERVIÇO 172: ALVENARIAS E DIVISÓRIAS</t>
  </si>
  <si>
    <t>GRUPO DE SERVIÇO 174: IMPERMEABILIZAÇÃO</t>
  </si>
  <si>
    <t>GRUPO DE SERVIÇO 176: ESTRUTURAS DE MADEIRA</t>
  </si>
  <si>
    <t>GRUPO DE SERVIÇO 178: COBERTURAS</t>
  </si>
  <si>
    <t>GRUPO DE SERVIÇO 183: FORROS</t>
  </si>
  <si>
    <t>GRUPO DE SERVIÇO 185: FERRAGENS</t>
  </si>
  <si>
    <t>GRUPO DE SERVIÇO 187: ADMINISTRAÇÃO - MENSALISTAS</t>
  </si>
  <si>
    <t>GRUPO DE SERVIÇO 188: PINTURA</t>
  </si>
  <si>
    <t>GRUPO DE SERVIÇO 189: DIVERSOS</t>
  </si>
  <si>
    <t>SERVIÇOS PRELIMINARES</t>
  </si>
  <si>
    <t>TRANSPORTES</t>
  </si>
  <si>
    <t>SERVIÇOS EM TERRA</t>
  </si>
  <si>
    <t>FUNDAÇÕES E SONDAGENS</t>
  </si>
  <si>
    <t xml:space="preserve"> INST. ELÉT./TELEFÔNICA/CABEAMENTO ESTRUTURADO</t>
  </si>
  <si>
    <t>ALVENARIAS E DIVISÓRIAS</t>
  </si>
  <si>
    <t>ESTRUTURAS</t>
  </si>
  <si>
    <t>INSTALAÇÃO HIDROSSANITÁRIA</t>
  </si>
  <si>
    <t>7.3</t>
  </si>
  <si>
    <t>7.4</t>
  </si>
  <si>
    <t>7.5</t>
  </si>
  <si>
    <t>7.6</t>
  </si>
  <si>
    <t>7.7</t>
  </si>
  <si>
    <t>7.8</t>
  </si>
  <si>
    <t>7.9</t>
  </si>
  <si>
    <t>IMPERMEABILIZAÇÃO</t>
  </si>
  <si>
    <t>ESTRUTURAS DE MADEIRA</t>
  </si>
  <si>
    <t>COBERTURAS</t>
  </si>
  <si>
    <t>AREA / TOTAL</t>
  </si>
  <si>
    <t>FORROS</t>
  </si>
  <si>
    <t>16.1</t>
  </si>
  <si>
    <t>1.8</t>
  </si>
  <si>
    <t>7.18</t>
  </si>
  <si>
    <t>7.19</t>
  </si>
  <si>
    <t>7.20</t>
  </si>
  <si>
    <t>7.21</t>
  </si>
  <si>
    <t>7.17</t>
  </si>
  <si>
    <t>9.1</t>
  </si>
  <si>
    <t>11.1</t>
  </si>
  <si>
    <t>ADMINISTRAÇÃO - MENSALISTAS</t>
  </si>
  <si>
    <t>18.1</t>
  </si>
  <si>
    <t>FERRAGENS</t>
  </si>
  <si>
    <t>DIVERSOS</t>
  </si>
  <si>
    <t>19.1</t>
  </si>
  <si>
    <t>18.2</t>
  </si>
  <si>
    <t>19.2</t>
  </si>
  <si>
    <t>12.1</t>
  </si>
  <si>
    <t>12.2</t>
  </si>
  <si>
    <t>10.1</t>
  </si>
  <si>
    <t>kg</t>
  </si>
  <si>
    <t>LIMPEZA FINAL DE OBRA - (OBRAS CIVIS)</t>
  </si>
  <si>
    <t>PLACA DE INAUGURACAO ACO ESCOVADO 80 X 60 CM</t>
  </si>
  <si>
    <t>4.2</t>
  </si>
  <si>
    <t>ESCAVACAO MANUAL DE VALAS (SAPATAS/BLOCOS)</t>
  </si>
  <si>
    <t>m³</t>
  </si>
  <si>
    <t>4.3</t>
  </si>
  <si>
    <t>4.4</t>
  </si>
  <si>
    <t>4.5</t>
  </si>
  <si>
    <t>4.6</t>
  </si>
  <si>
    <t>5.1</t>
  </si>
  <si>
    <t>9.2</t>
  </si>
  <si>
    <t>Área total da construção</t>
  </si>
  <si>
    <t>16.2</t>
  </si>
  <si>
    <t>20.1</t>
  </si>
  <si>
    <t>20.3</t>
  </si>
  <si>
    <t>20.4</t>
  </si>
  <si>
    <t>PINTURA</t>
  </si>
  <si>
    <t>1.9</t>
  </si>
  <si>
    <t>17.1</t>
  </si>
  <si>
    <t>17.2</t>
  </si>
  <si>
    <t>INST. ELÉT./TELEFÔNICA/CABEAMENTO ESTRUTURADO</t>
  </si>
  <si>
    <t xml:space="preserve">PLANILHA ORÇAMENTÁRIA </t>
  </si>
  <si>
    <t>Maternal III (Reparo em 10% )</t>
  </si>
  <si>
    <t>Maternal IV (Reparo de 10%)</t>
  </si>
  <si>
    <t>Maternal V</t>
  </si>
  <si>
    <t>Jardim II</t>
  </si>
  <si>
    <t>Maternal V (Reparo de 10%)</t>
  </si>
  <si>
    <t>Jardim II / Berçario I / Berçario II (12 peças de 2,44x 1,10)</t>
  </si>
  <si>
    <t>REFORMA E AMPLIAÇÃO - CMEI RUTH SILVA</t>
  </si>
  <si>
    <t>Frente Maternal III</t>
  </si>
  <si>
    <t>Refeitório - Porta (P3) (1 porta)</t>
  </si>
  <si>
    <t>Maternal VI - Porta (P3) (3 portas)</t>
  </si>
  <si>
    <t>Maternal III</t>
  </si>
  <si>
    <t>Maternal IV</t>
  </si>
  <si>
    <t>I. Sanitário II</t>
  </si>
  <si>
    <t xml:space="preserve">Maternal VI </t>
  </si>
  <si>
    <t xml:space="preserve">Informática </t>
  </si>
  <si>
    <t>Refeitório</t>
  </si>
  <si>
    <t>Informática - Porta (P3) (1 porta)</t>
  </si>
  <si>
    <t>DML (P1) (1 porta)</t>
  </si>
  <si>
    <t>I. Sanitário I</t>
  </si>
  <si>
    <t>Multimeios</t>
  </si>
  <si>
    <t>DEMOLIÇÃO MANUAL DE PISO CERÂMICO SOBRE LASTRO CONC.C/TR.CB e CARGA</t>
  </si>
  <si>
    <t>DEMOLIÇÃO MANUAL DE PISO CIMENT.SOBRE LASTRO CONC.C/TR.ATE CB. E CARGA</t>
  </si>
  <si>
    <t>REMOÇÃO MANUAL DE JANELA OU PORTAL C/ TRANSP. ATÉ CB. E CARGA</t>
  </si>
  <si>
    <t>Jardim I</t>
  </si>
  <si>
    <t>Jardim III</t>
  </si>
  <si>
    <t>WC feminino</t>
  </si>
  <si>
    <t>WC masculino</t>
  </si>
  <si>
    <t>Berçário I</t>
  </si>
  <si>
    <t>Berçário II</t>
  </si>
  <si>
    <t>Despensa</t>
  </si>
  <si>
    <t>D.M.l</t>
  </si>
  <si>
    <t>Área de serviço</t>
  </si>
  <si>
    <t>Solário - Berçário I</t>
  </si>
  <si>
    <t>Solário - Berçario II</t>
  </si>
  <si>
    <t>Corredor</t>
  </si>
  <si>
    <t>Calçada externa 1 (CE1)</t>
  </si>
  <si>
    <t>Calçada externa 2 (CE2)</t>
  </si>
  <si>
    <t>Calçada externa 3 (CE3)</t>
  </si>
  <si>
    <t>Calçada externa 4 (CE4)</t>
  </si>
  <si>
    <t>Calçada externa 5 (CE5)</t>
  </si>
  <si>
    <t>Calçada externa 6 (CE6)</t>
  </si>
  <si>
    <t>Patio</t>
  </si>
  <si>
    <t>Cozinha + lactario</t>
  </si>
  <si>
    <t>Varanda 2</t>
  </si>
  <si>
    <t>Varanda 1</t>
  </si>
  <si>
    <t>Alimentação</t>
  </si>
  <si>
    <t>Fraldario</t>
  </si>
  <si>
    <t>DEMOLIÇÃO MANUAL DE REVESTIMENTOS COM AZULEJO C/TRANSP. ATE CB. E CARGA</t>
  </si>
  <si>
    <t xml:space="preserve">Platibanda - Berçário I </t>
  </si>
  <si>
    <t>Platibanda - Berçário II</t>
  </si>
  <si>
    <t xml:space="preserve">Platibanda - Área de serviço </t>
  </si>
  <si>
    <t xml:space="preserve">Refeitório - Antiga cozinha </t>
  </si>
  <si>
    <t>DEMOLIÇÃO MANUAL ALVENARIA TIJOLO S/REAP. C/TR.ATE CB. E CARGA</t>
  </si>
  <si>
    <t>WC. Masculino - escada de acesso ao tanque</t>
  </si>
  <si>
    <t>WC. Masculino - Tanque</t>
  </si>
  <si>
    <t>WC. Feminino - escada de acesso ao tanque</t>
  </si>
  <si>
    <t>WC. Feminino - Tanque</t>
  </si>
  <si>
    <t>Informática - Alvenarias internas</t>
  </si>
  <si>
    <t xml:space="preserve">Maternal IV - Alvenaria interna </t>
  </si>
  <si>
    <t xml:space="preserve">Maternal VI - Alvenaria interna </t>
  </si>
  <si>
    <t>M²</t>
  </si>
  <si>
    <t>DEMOLIÇÃO MANUAL ESTRUT. EM METALON PARA FORRO DE GESSO C/TR.CB E CARGA</t>
  </si>
  <si>
    <t xml:space="preserve">Maternal V </t>
  </si>
  <si>
    <t>1.10</t>
  </si>
  <si>
    <t>DEMOLIÇÃO MANUAL EM CONCRETO SIMPLES C/TR.ATE CB.E CARGA (O.C)</t>
  </si>
  <si>
    <t>Calçada de entrada</t>
  </si>
  <si>
    <t>1.11</t>
  </si>
  <si>
    <t>DEMOLIÇÃO MANUAL DE BANCADA C/ TRANSP. ATÉ CB. E CARGA</t>
  </si>
  <si>
    <t>Refeitorio</t>
  </si>
  <si>
    <t>1.12</t>
  </si>
  <si>
    <t>DEMOLIÇÃO MANUAL DE FORRO PVC INCLUSIVE ESTRUTURA DE SUSTENTAÇÃO C/ TRANSP. ATÉ CB. E CARGA</t>
  </si>
  <si>
    <t>Maternal VI</t>
  </si>
  <si>
    <t>Informática</t>
  </si>
  <si>
    <t>1.13</t>
  </si>
  <si>
    <t>DEMOLIÇÃO MANUAL DE DIVISÓRIA EM PEDRA/CONC.C/TRANSP. ATÉ CB. CARGA</t>
  </si>
  <si>
    <t>WC Masculino</t>
  </si>
  <si>
    <t>WC Feminino</t>
  </si>
  <si>
    <t>1.14</t>
  </si>
  <si>
    <t>REMOÇÃO MANUAL DE TUBULAÇÃO (TUBO E CONEXÃO) C/ TRANSP. ATÉ CB. E CARGA (EXCLUSO RASGOS E ESCAVAÇÕES)</t>
  </si>
  <si>
    <t>1.15</t>
  </si>
  <si>
    <t>PLACA DE OBRA PLOTADA EM CHAPA METÁLICA 26 , AFIXADA EM CAVALETES DE MADEIRA DE LEI (VIGOTAS 6X12CM) - PADRÃO GOINFRA</t>
  </si>
  <si>
    <t>Placa de obra</t>
  </si>
  <si>
    <t>A.R.R.S</t>
  </si>
  <si>
    <t>KG</t>
  </si>
  <si>
    <t xml:space="preserve">I. Sanitário II </t>
  </si>
  <si>
    <t xml:space="preserve">I. Sanitário I </t>
  </si>
  <si>
    <t>Lactário</t>
  </si>
  <si>
    <t>Cozinha</t>
  </si>
  <si>
    <t xml:space="preserve">Refeitório </t>
  </si>
  <si>
    <t>PISO EM CONCRETO DESEMPENADO ESPESSURA = 7 CM 1:2,5:3,5</t>
  </si>
  <si>
    <t>16.3</t>
  </si>
  <si>
    <t>I. Sanitario I</t>
  </si>
  <si>
    <t>REVESTIMENTO COM CERAMICA</t>
  </si>
  <si>
    <t>GRUPO DE SERVIÇO: 185 - FERRAGENS</t>
  </si>
  <si>
    <t xml:space="preserve">Cozinha </t>
  </si>
  <si>
    <t>D.M.L.</t>
  </si>
  <si>
    <t>MASTROS PARA BANDEIRAS EM FERRO GALVANIZADO (ASSENTADOS/PINTADOS)</t>
  </si>
  <si>
    <t>CJ</t>
  </si>
  <si>
    <t>GRUPO DE SERVIÇO: 165 - TRANSPORTES</t>
  </si>
  <si>
    <t>GRUPO DE SERVIÇO: 166 - SERVIÇOS EM TERRA</t>
  </si>
  <si>
    <t>GRUPO DE SERVIÇO: 189 - DIVERSOS</t>
  </si>
  <si>
    <t>Jardim I - Porta de vidro (P3) (1 porta)</t>
  </si>
  <si>
    <t>Jardim II - Porta de vidro (P3) (1porta)</t>
  </si>
  <si>
    <t>Jardim III - Janela (J5) (4 janelas)</t>
  </si>
  <si>
    <t>WC Masculino - Janela (J4) (1janela)</t>
  </si>
  <si>
    <t>WC Feminino - Janela (J4) (1 janela)</t>
  </si>
  <si>
    <t>Refeitório - Janela (J2) (2 janelas)</t>
  </si>
  <si>
    <t>Refeitório - Janela (J5) (2 janelas)</t>
  </si>
  <si>
    <t>Refeitório - Porta (P4) (4 portas)</t>
  </si>
  <si>
    <t>Maternal III - Porta (P4) (1 porta)</t>
  </si>
  <si>
    <t>Maternal IV - Porta (P4) (1 porta)</t>
  </si>
  <si>
    <t>Maternal IV - Janela (J5) (1 janela)</t>
  </si>
  <si>
    <t>Maternal III - Janela (J5) (1 janela)</t>
  </si>
  <si>
    <t>Maternal V - Porta (P4) (1 porta)</t>
  </si>
  <si>
    <t>Maternal V - Janela (J5) (1 janela)</t>
  </si>
  <si>
    <t>Maternal VI - Janela (J2) (2 janela)</t>
  </si>
  <si>
    <t>Maternal VI - Janela (J1) (1 janela)</t>
  </si>
  <si>
    <t>Multimeios - Porta (P4) (3 portas)</t>
  </si>
  <si>
    <t>Multimeios - Janela (J1) (1 janelas)</t>
  </si>
  <si>
    <t>Multimeios - Janela (J5) (1janela)</t>
  </si>
  <si>
    <t>Multimeios - Janela (J6) (2janela)</t>
  </si>
  <si>
    <t>Informática - Porta (P4) (1 porta)</t>
  </si>
  <si>
    <t>Informática - Janela (J1) (1 janela)</t>
  </si>
  <si>
    <t>Informática - Janela (J3) (1 janela)</t>
  </si>
  <si>
    <t>Despensa - Porta (P4) (1 porta)</t>
  </si>
  <si>
    <t>Área de serviço - Porta (P4) (1 porta)</t>
  </si>
  <si>
    <t>Area externa - Portão de entrada 1</t>
  </si>
  <si>
    <t>Area externa - Portão Lateral 2</t>
  </si>
  <si>
    <t>Area externa - Portão Lateral 1</t>
  </si>
  <si>
    <t>Area de Serviço (Nova)</t>
  </si>
  <si>
    <t>Atual cozinha- Bancadas</t>
  </si>
  <si>
    <t>Alvenaria Interna - Alvenarias internas</t>
  </si>
  <si>
    <t>Area de serviço (atual)- Tanques</t>
  </si>
  <si>
    <t xml:space="preserve">    Desconto de vão de porta (1 P1) - Area de servico (nova)</t>
  </si>
  <si>
    <t xml:space="preserve">    Desconto de vão de janela - Area de serviço (nova)</t>
  </si>
  <si>
    <t xml:space="preserve">    Desconto de vão de janela (2 J5) - Atual cozinha</t>
  </si>
  <si>
    <t xml:space="preserve">    Desconto de vão de porta (3 P4) - Atual cozinha</t>
  </si>
  <si>
    <t>Area de Serviço (nova)</t>
  </si>
  <si>
    <t xml:space="preserve">CÓDIGO </t>
  </si>
  <si>
    <t>AREA (M)</t>
  </si>
  <si>
    <t>LARGURA(M)</t>
  </si>
  <si>
    <t>ALTURA(M)</t>
  </si>
  <si>
    <t>AREA(M²)</t>
  </si>
  <si>
    <t>ESPESSURA (M)</t>
  </si>
  <si>
    <t>TRANSPORTE DE ENTULHO CAÇAMBA ESTACIONÁRIA SEM CARGA (EMPOLAMENTO 30%)</t>
  </si>
  <si>
    <t>Passeio Publico</t>
  </si>
  <si>
    <t>PISO CONCRETO DESEMPENADO ESPESSURA = 5 CM 1:2,5:3,5</t>
  </si>
  <si>
    <t>Patio Frontal (direito) - 1</t>
  </si>
  <si>
    <t>Patio Frontal (direito) - 2</t>
  </si>
  <si>
    <t>Patio Frontal (direito) - 3</t>
  </si>
  <si>
    <t>Patio Frontal (direito) - 4</t>
  </si>
  <si>
    <t>Patio Frontal (direito) - 5</t>
  </si>
  <si>
    <t>Patio Frontal (direito) - 6</t>
  </si>
  <si>
    <t>Patio Frontal (direito) - 7</t>
  </si>
  <si>
    <t>Patio Frontal (direito) - 8</t>
  </si>
  <si>
    <t>Patio Frontal (esquerdo) - 1</t>
  </si>
  <si>
    <t>Patio Frontal (esquerdo) - 2</t>
  </si>
  <si>
    <t>Patio Frontal (esquerdo) - 3</t>
  </si>
  <si>
    <t>Patio Frontal (esquerdo) - 4</t>
  </si>
  <si>
    <t xml:space="preserve">     Desconto patio frontal esquerdo</t>
  </si>
  <si>
    <t>PISO EM CERÂMICA PEI MAIOR OU IGUAL A 4 COM CONTRA PISO (1CI:3ARML) E ARGAMASSA COLANTE</t>
  </si>
  <si>
    <t>GRANITINA 8 MM FUNDIDA COM CONTRAPISO (1Cl:3ARML) E = 2 CM E JUNTA PLASTICA 27 MM</t>
  </si>
  <si>
    <t>Pátio coberto</t>
  </si>
  <si>
    <t xml:space="preserve">Corredor </t>
  </si>
  <si>
    <t>Varandas</t>
  </si>
  <si>
    <t>Área externa GLP</t>
  </si>
  <si>
    <t>I. Sanitario II</t>
  </si>
  <si>
    <t xml:space="preserve">  Desconto de vão Porta (2PM1)</t>
  </si>
  <si>
    <t>ESTACAS</t>
  </si>
  <si>
    <t>DENSIDADE</t>
  </si>
  <si>
    <r>
      <t xml:space="preserve">  </t>
    </r>
    <r>
      <rPr>
        <sz val="12"/>
        <color theme="1"/>
        <rFont val="Arial"/>
        <family val="2"/>
      </rPr>
      <t xml:space="preserve"> E1=E2=E3=E4</t>
    </r>
  </si>
  <si>
    <t>AREA (M²)</t>
  </si>
  <si>
    <t>PREPARO COM BETONEIRA E TRANSPORTE MANUAL DE CONCRETO PARA LASTRO - (O.C.)</t>
  </si>
  <si>
    <t>ACO CA 50-A - 8,0 MM (5/16") - (OBRAS CIVIS)</t>
  </si>
  <si>
    <t>CONCRETO USINADO CONVENCIONAL FCK=25 MPA COM TRANSPORTE MANUAL (O.C.)</t>
  </si>
  <si>
    <t>BLOCOS</t>
  </si>
  <si>
    <t xml:space="preserve">   BL1=BL2=BL3=BL4</t>
  </si>
  <si>
    <t>FORMA TABUA PINHO P/FUNDACOES U=3V - (OBRAS CIVIS)</t>
  </si>
  <si>
    <t>SOLEIRA EM GRANITO IMPERMEABILIZADA COM CONTRAPISO (1CI:3ARML)</t>
  </si>
  <si>
    <t>Informatica</t>
  </si>
  <si>
    <t>RODAPÉ DE CERÂMICA COM ARGAMASSA COLANTE</t>
  </si>
  <si>
    <t>CERÂMICA ANTIDERRAPANTE PEI MAIOR OU IGUAL A 4 COM CONTRA PISO (1CI:3ARML) E ARGAMASSA COLANTE</t>
  </si>
  <si>
    <t>RODAPÉ DE CERÂMICA ANTIDERRAPANTE COM ARGAMASSA COLANTE</t>
  </si>
  <si>
    <t>RODAPÉ FUNDIDO DE GRANITINA 7CM</t>
  </si>
  <si>
    <t>Patio coberto</t>
  </si>
  <si>
    <t xml:space="preserve">  Desconto 1PV1</t>
  </si>
  <si>
    <t>Area Externa GLP</t>
  </si>
  <si>
    <t>GRUPO DE SERVIÇO: 179 - ESQUADRIAS DE MADEIRAS</t>
  </si>
  <si>
    <t>ESQUADRIA DE MADEIRA</t>
  </si>
  <si>
    <t>PORTA LISA 80x210 C/PORTAL E ALISAR S/FERRAGENS</t>
  </si>
  <si>
    <t>UNIDADE</t>
  </si>
  <si>
    <t xml:space="preserve">un </t>
  </si>
  <si>
    <t xml:space="preserve">DML </t>
  </si>
  <si>
    <t>Area de Servico</t>
  </si>
  <si>
    <t>Lactario</t>
  </si>
  <si>
    <t xml:space="preserve">cozinha </t>
  </si>
  <si>
    <t>PORTA LISA 100x210 COM PORTAL E ALISAR S/FERRAGENS</t>
  </si>
  <si>
    <t>I. Sanitaria I</t>
  </si>
  <si>
    <t>I. Sanitaria II</t>
  </si>
  <si>
    <t>FECH.(ALAV.) LAFONTE 6236 E/8766- E17 IMAB OU EQUIV</t>
  </si>
  <si>
    <t>ESCAVAÇAO MANUAL DE VALAS PROF.1 A 2 M</t>
  </si>
  <si>
    <t xml:space="preserve">APILOAMENTO </t>
  </si>
  <si>
    <t>GRUPO DE SERVIÇO: 167 - FUNDAÇÕES E SONDAGENS</t>
  </si>
  <si>
    <t>DOBRADICA 3" x 3 1/2" FERRO POLIDO</t>
  </si>
  <si>
    <t>FORRO DE GESSO ACARTONADO PARA ÁREAS SECAS ESPESSURA DE 12,5MM</t>
  </si>
  <si>
    <t>FORRO DE GESSO ACARTONADO PARA ÁREAS MOLHADAS, ESPESSURA DE 12,5 MM</t>
  </si>
  <si>
    <t>MOLDURA PARA FORRO DE GESSO COMUM 5 CM</t>
  </si>
  <si>
    <t xml:space="preserve">WC Feminino </t>
  </si>
  <si>
    <t>BANCADA DE GRANITINA</t>
  </si>
  <si>
    <t>Maternal III (B1)</t>
  </si>
  <si>
    <t>I. Sanitaria I (B2)</t>
  </si>
  <si>
    <t>Maternal IV (B3)</t>
  </si>
  <si>
    <t>Materna V (B4)</t>
  </si>
  <si>
    <t>I. Sanitaria II (B5)</t>
  </si>
  <si>
    <t>Maternal VI (B6)</t>
  </si>
  <si>
    <t xml:space="preserve">       B7</t>
  </si>
  <si>
    <t xml:space="preserve">       B8</t>
  </si>
  <si>
    <t xml:space="preserve">       B9</t>
  </si>
  <si>
    <t xml:space="preserve">Despensa </t>
  </si>
  <si>
    <t xml:space="preserve">       B12</t>
  </si>
  <si>
    <t xml:space="preserve">       B13</t>
  </si>
  <si>
    <t xml:space="preserve">       B14</t>
  </si>
  <si>
    <t>und</t>
  </si>
  <si>
    <t>Rampa de acesso</t>
  </si>
  <si>
    <t xml:space="preserve">      B10</t>
  </si>
  <si>
    <t>Lactario (B11)</t>
  </si>
  <si>
    <t xml:space="preserve">       B15</t>
  </si>
  <si>
    <t xml:space="preserve">      B16</t>
  </si>
  <si>
    <t xml:space="preserve">      B17</t>
  </si>
  <si>
    <t xml:space="preserve">Area de Serviço </t>
  </si>
  <si>
    <t>Alimentação (B18)</t>
  </si>
  <si>
    <t>GRUPO DE SERVIÇO: 170 - INSTALAÇÕES HIDRO-SANITARIAS</t>
  </si>
  <si>
    <t>INSTALAÇÕES HIDROSSANITÁRIAS</t>
  </si>
  <si>
    <t>TORNEIRA DE PAREDE PARA TANQUE COM AREJADOR DIÂMETRO DE 1/2" E 3/4"</t>
  </si>
  <si>
    <t>um</t>
  </si>
  <si>
    <t>Area de servico</t>
  </si>
  <si>
    <t>D.M.L</t>
  </si>
  <si>
    <t xml:space="preserve">UNIDADE </t>
  </si>
  <si>
    <t>un</t>
  </si>
  <si>
    <t>TORNEIRA DE JARDIM COM BICO PARA MANGUEIRA DIÂMETRO DE 1/2" E 3/4"</t>
  </si>
  <si>
    <t>Pátio Frontal</t>
  </si>
  <si>
    <t>CHUVEIRO ELÉTRICO EM PVC COM BRAÇO METÁLICO</t>
  </si>
  <si>
    <t>I. Sanitaria</t>
  </si>
  <si>
    <t>CUBA DE LOUCA DE EMBUTIR OVAL MÉDIA</t>
  </si>
  <si>
    <t>TORNEIRA DE MESA COM FECHAMENTO AUTOMÁTICO TEMPORIZADO PARA LAVATÓRIO DIÂMETRO DE 1/2"</t>
  </si>
  <si>
    <t>LIGAÇÃO FLEXÍVEL PVC DIAM.1/2" (ENGATE)</t>
  </si>
  <si>
    <t>Area de Serviço</t>
  </si>
  <si>
    <t>SIFAO P/LAVATORIO PVC DIAM.1"X1.1/2"</t>
  </si>
  <si>
    <t>SIFAO PVC P/PIA 1.1/2" X 2"</t>
  </si>
  <si>
    <t>TORNEIRA DE MESA PARA PIA DIÂMETRO DE 1/2" - BICA MÓVEL</t>
  </si>
  <si>
    <t xml:space="preserve">PLANTIO GRAMA ESMERALDA PLACA C/ M.O. IRRIG., ADUBO,TERRA VEGETAL (O.C.) A&lt;11.000,00M2
</t>
  </si>
  <si>
    <t>Area verde 1</t>
  </si>
  <si>
    <t>Area verde 2</t>
  </si>
  <si>
    <t>Area verde 3</t>
  </si>
  <si>
    <t>Area verde 4</t>
  </si>
  <si>
    <t>Area verde 5</t>
  </si>
  <si>
    <t>Area verde 6</t>
  </si>
  <si>
    <t>Area verde 7</t>
  </si>
  <si>
    <t>Area verde 8</t>
  </si>
  <si>
    <t>Area verde 9</t>
  </si>
  <si>
    <t>Area verde 10</t>
  </si>
  <si>
    <t>Area verde 11</t>
  </si>
  <si>
    <t>DEMOLIÇÃO MANUAL DE REVESTIMENTO C/ARGAMASSA C/TR.ATE CB.E CARGA</t>
  </si>
  <si>
    <t xml:space="preserve">     Teto</t>
  </si>
  <si>
    <t>Berçario II</t>
  </si>
  <si>
    <t>GRUPO DE SERVIÇO: 174 - IMPERMEABILIZAÇÃO</t>
  </si>
  <si>
    <t>IMPERMEABILIZACAO-ARGAM. SINT.SEMI - FLEXIVEL</t>
  </si>
  <si>
    <t>GRUPO DE SERVIÇO: 183 - FORROS</t>
  </si>
  <si>
    <t>GRUPO DE SERVIÇO: 188 - PINTURA</t>
  </si>
  <si>
    <t>EMASSAMENTO COM MASSA PVA DUAS DEMAOS</t>
  </si>
  <si>
    <t>GRUPO DE SERVIÇO: 168 - ESTRUTURA</t>
  </si>
  <si>
    <t>ESTRUTURA</t>
  </si>
  <si>
    <t>LIMPEZA DO SUBSTRATO COM APLICAÇÃO DE JATO DE ÁGUA FRIA</t>
  </si>
  <si>
    <t xml:space="preserve">   Teto - area interna e externa</t>
  </si>
  <si>
    <t>Cozinha + Lactario</t>
  </si>
  <si>
    <t xml:space="preserve">   Teto - area interna</t>
  </si>
  <si>
    <t xml:space="preserve">   Teto - area interna </t>
  </si>
  <si>
    <t xml:space="preserve">   Teto - area externa</t>
  </si>
  <si>
    <t>MANTA ASFÁLTICA TIPO III - B ( 3 MM)</t>
  </si>
  <si>
    <t>Sala dos professores</t>
  </si>
  <si>
    <t xml:space="preserve">     Teto - area interna</t>
  </si>
  <si>
    <t xml:space="preserve">     Teto -area interna</t>
  </si>
  <si>
    <t xml:space="preserve">   Desconto Porta (4P3)</t>
  </si>
  <si>
    <t xml:space="preserve">   Desconto Porta (1P1)</t>
  </si>
  <si>
    <t xml:space="preserve">   Desconto Janela (2J10)</t>
  </si>
  <si>
    <t xml:space="preserve">   Desconto Janela (1J9)</t>
  </si>
  <si>
    <t xml:space="preserve">    Desconto Porta (1P3)</t>
  </si>
  <si>
    <t xml:space="preserve">    Desconto Janela (1J6)</t>
  </si>
  <si>
    <t xml:space="preserve">   Desconto Porta (1P3)</t>
  </si>
  <si>
    <t xml:space="preserve">   Desconto Porta (2P1)</t>
  </si>
  <si>
    <t xml:space="preserve">    Desconto Porta (4P3)</t>
  </si>
  <si>
    <t xml:space="preserve">    Desconto Porta (1P1)</t>
  </si>
  <si>
    <t xml:space="preserve">   Desconto Porta(2P1)</t>
  </si>
  <si>
    <t xml:space="preserve">    Desconto Janela (1GR1)</t>
  </si>
  <si>
    <t xml:space="preserve">  Desconto Porta (10P1)</t>
  </si>
  <si>
    <t xml:space="preserve">  Desconto Porta  (3P3)</t>
  </si>
  <si>
    <t xml:space="preserve">  Desconto Porta (2PE)</t>
  </si>
  <si>
    <t xml:space="preserve">   Desconto Porta (2P3)</t>
  </si>
  <si>
    <t xml:space="preserve">    Desconto Porta (2P1)</t>
  </si>
  <si>
    <t xml:space="preserve">    Desconto Porta (2P3)</t>
  </si>
  <si>
    <t xml:space="preserve">   Desconto Porta (1PE)</t>
  </si>
  <si>
    <t xml:space="preserve">    Desconto Porta (1PE)</t>
  </si>
  <si>
    <t xml:space="preserve">   Desconto  Porta (2PE)</t>
  </si>
  <si>
    <t xml:space="preserve">   Desconto  Porta (1P1)</t>
  </si>
  <si>
    <t xml:space="preserve">      Desconto Porta (1 P3)</t>
  </si>
  <si>
    <t>REMOÇÃO MANUAL DE LUMINÁRIA C/ TRANSP. ATÉ CB. E CARGA</t>
  </si>
  <si>
    <t>Sala lado da area de serviço (maternal II A)</t>
  </si>
  <si>
    <t>Banheiro da sala (maternal II A)</t>
  </si>
  <si>
    <t>Sala maternal II B</t>
  </si>
  <si>
    <t>Pátio Coberto</t>
  </si>
  <si>
    <t>Berçario I</t>
  </si>
  <si>
    <t>Solario Berçario I</t>
  </si>
  <si>
    <t>Solario Berçario II</t>
  </si>
  <si>
    <t>Secretaria</t>
  </si>
  <si>
    <t>Espera + Circulação</t>
  </si>
  <si>
    <t>Diretoria</t>
  </si>
  <si>
    <t>I.S. Fun. Fem</t>
  </si>
  <si>
    <t>I.S. Fun. Masc</t>
  </si>
  <si>
    <t>Almoxarifado</t>
  </si>
  <si>
    <t>Coordenação</t>
  </si>
  <si>
    <t>Sala de professores</t>
  </si>
  <si>
    <t>I.S.Sec.</t>
  </si>
  <si>
    <t>Maternal I</t>
  </si>
  <si>
    <t>Maternal II</t>
  </si>
  <si>
    <t>Area de Serviço (antiga)</t>
  </si>
  <si>
    <t>REMOÇÃO MANUAL DE INTERRUPTOR/TOMADA ELÉTRICA/DISJUNTOR C/ TRANSP. ATÉ CB. E CARGA</t>
  </si>
  <si>
    <t>I.S.Dir.</t>
  </si>
  <si>
    <t>REMOÇÃO MANUAL DE METAL SANITÁRIO (VÁLVULAS/SIFÃO/REGISTROS/TORNEIRAS/ OUTROS) C/ TRANSP. ATÉ CB. E CARGA</t>
  </si>
  <si>
    <t>GRUPO DE SERVIÇO: 169 - INST.ELÉT./TELEFÔNICA/ACABAMENTO ESTRUTURADO</t>
  </si>
  <si>
    <t>97592 SINAPI</t>
  </si>
  <si>
    <t>LUMINÁRIA TIPO PLAFON, DE SOBREPOR, COM 1 LÂMPADA LED DE 12/13 W, SEM REAT</t>
  </si>
  <si>
    <t>Area externa GLP</t>
  </si>
  <si>
    <t>I.S. Sec.</t>
  </si>
  <si>
    <t>I.S. Fem.</t>
  </si>
  <si>
    <t>I.S.Masc.</t>
  </si>
  <si>
    <t>TUBO SOLDAVEL PVC MARROM DIAM.(40 mm)</t>
  </si>
  <si>
    <t xml:space="preserve">Vide projeto hidráulico </t>
  </si>
  <si>
    <t>TUBO SOLDAVEL PVC MARROM DIAMETRO 32 mm</t>
  </si>
  <si>
    <t>TUBO SOLDAVEL PVC MARROM DIAMETRO 25 mm</t>
  </si>
  <si>
    <t>REGISTRO DE GAVETA C/CANOPLA DIAMETRO 3/4"</t>
  </si>
  <si>
    <t>REGISTRO DE PRESSAO C/CANOPLA CROMADA DIAM.3/4"</t>
  </si>
  <si>
    <t>TABELA</t>
  </si>
  <si>
    <t xml:space="preserve">CÓD. </t>
  </si>
  <si>
    <t>1.16</t>
  </si>
  <si>
    <t>GOINFRA</t>
  </si>
  <si>
    <t>10.2</t>
  </si>
  <si>
    <t>REVESTIMENTO DE PISO</t>
  </si>
  <si>
    <t>GRUPO DE SERVIÇO: 184 - REVESTIMENTO DE PISO</t>
  </si>
  <si>
    <t>GRUPO DE SERVIÇO: 182 - REVESTIMENTO DE PAREDES</t>
  </si>
  <si>
    <t>REVESTIMENTO DE PAREDE</t>
  </si>
  <si>
    <t>GRUPO DE SERVIÇO: 187 - ADMINISTRAÇÃO - MENSALISTAS</t>
  </si>
  <si>
    <t>ENGENHEIRO - OBRAS CIVIS</t>
  </si>
  <si>
    <t>H</t>
  </si>
  <si>
    <t>TEMPO</t>
  </si>
  <si>
    <t>8 horas por dia</t>
  </si>
  <si>
    <t>TABELA 140 GOINFRA -  (JUNHO / 2021) CUSTOS DE OBRAS CIVIS - DESONERADA</t>
  </si>
  <si>
    <t>TABELA SINAPI -  (JUNHO/2021) - DESONERADA</t>
  </si>
  <si>
    <t xml:space="preserve">ESGOTO SANITÁRIO </t>
  </si>
  <si>
    <t>TUBO SOLD.P/ESGOTO DIAM. 40 MM</t>
  </si>
  <si>
    <t>TUBO SOLD. P/ESGOTO DIAM. 50 MM</t>
  </si>
  <si>
    <t>TUBO SOLDAVEL P/ESGOTO DIAM.75 MM</t>
  </si>
  <si>
    <t>TUBO SOLDAVEL P/ESGOTO DIAM. 100 MM</t>
  </si>
  <si>
    <t>ADAPTADOR SOLD.C/FLANGES LIV.P/CX.DAGUA 40X1.1/4"</t>
  </si>
  <si>
    <t>JOELHO 90 GRAUS DIAMETRO 40 MM</t>
  </si>
  <si>
    <t>TE REDUCAO 90 GRAUS SOLDAVEL 40 X 32 mm</t>
  </si>
  <si>
    <t>REGISTRO DE GAVETA BRUTO DIAMETRO 1.1/2"</t>
  </si>
  <si>
    <t>CURVA 45 GRAUS DIAMETRO 40 MM</t>
  </si>
  <si>
    <t>JOELHO REDUÇÃO 90º SOLDÁVEL 32 mm X 25 mm</t>
  </si>
  <si>
    <t>JOELHO 90 GRAUS SOLD./ROSCA 25 X 3/4"</t>
  </si>
  <si>
    <t>UNIAO SOLDAVEL DIAMETRO 40 mm</t>
  </si>
  <si>
    <t>TE REDUCAO 90 GRAUS SOLDAVEL 32 X 25 mm</t>
  </si>
  <si>
    <t>JOELHO 90 GRAUS SOLDAVEL DIAMETRO 25 MM</t>
  </si>
  <si>
    <t>TE 90 GRAUS SOLDAVEL DIAMETRO 25 mm</t>
  </si>
  <si>
    <t>JOELHO REDUCAO 90 GRAUS SOLD./ROSCA 25 X 1/2"</t>
  </si>
  <si>
    <t>ADAPTADOR CURTO COM BOLSA E ROSCA PARA REGISTRO, PVC, SOLDÁVEL, DN 40MM X 1.1/2, INSTALADO EM PRUMADA DE ÁGUA - FORNECIMENTO E INSTALAÇÃO.</t>
  </si>
  <si>
    <t>ADAPTADOR CURTO COM BOLSA E ROSCA PARA REGISTRO, PVC, SOLDÁVEL, DN 25MM X UN 3/4, INSTALADO EM RAMAL OU SUB-RAMAL DE ÁGUA</t>
  </si>
  <si>
    <t>SINAPI 89570</t>
  </si>
  <si>
    <t>SINAPI 89383</t>
  </si>
  <si>
    <t>LUVA DE REDUÇÃO, PVC, SOLDÁVEL, DN 40MM X 32MM, INSTALADO EM RAMAL OU SUB- UN RAMAL DE ÁGUA</t>
  </si>
  <si>
    <t>SINAPI 89388</t>
  </si>
  <si>
    <t>JOELHO 90 GRAUS SOLDAVEL DIAMETRO 32 MM (1")</t>
  </si>
  <si>
    <t>7.10</t>
  </si>
  <si>
    <t>7.11</t>
  </si>
  <si>
    <t>7.12</t>
  </si>
  <si>
    <t>7.13</t>
  </si>
  <si>
    <t>7.14</t>
  </si>
  <si>
    <t>7.15</t>
  </si>
  <si>
    <t>7.16</t>
  </si>
  <si>
    <t>7.22</t>
  </si>
  <si>
    <t>7.23</t>
  </si>
  <si>
    <t>7.24</t>
  </si>
  <si>
    <t>7.25</t>
  </si>
  <si>
    <t>7.26</t>
  </si>
  <si>
    <t>7.27</t>
  </si>
  <si>
    <t>7.28</t>
  </si>
  <si>
    <t>7.29</t>
  </si>
  <si>
    <t>7.30</t>
  </si>
  <si>
    <t>13.1</t>
  </si>
  <si>
    <t>13.2</t>
  </si>
  <si>
    <t>CAIXA DE PASSAGEM 60 X 60 CM SEM TAMPA</t>
  </si>
  <si>
    <t>TAMPA EM CONCRETO ARMADO 25 MPA E=5CM PARA A CAIXA DE PASSAGEM 60X60CM</t>
  </si>
  <si>
    <t>CAIXA DE GORDURA E INSPEÇÃO EM PVC/ABS 19 LITROS COM TAMPA E PORTA TAMPA E CESTO DE LIMPEZA REMOVÍVEL</t>
  </si>
  <si>
    <t>TE 90 GRAUS DIAMETRO 40 MM - ESGOTO</t>
  </si>
  <si>
    <t>REDUCAO EXCENTRICA 100 X 50 MM</t>
  </si>
  <si>
    <t>CORPO CX. SIFONADA DIAM. 100 X 100 X 50</t>
  </si>
  <si>
    <t>BUCHA DE REDUCAO LONGA DIAM. 50 X 40 MM</t>
  </si>
  <si>
    <t>CURVA 45 GRAUS DIAMETRO 100 MM</t>
  </si>
  <si>
    <t>JOELHO 45 GRAUS DIAMETRO 50 MM</t>
  </si>
  <si>
    <t>JOELHO 45 GRAUS DIAMETRO 75 MM</t>
  </si>
  <si>
    <t>JOELHO 90 GRAUS DIAMETRO 100 MM</t>
  </si>
  <si>
    <t>JUNCAO SIMPLES DIAM. 100 X 50 MM</t>
  </si>
  <si>
    <t>JUNCAO SIMPLES DIAMETRO 100 X 75 MM</t>
  </si>
  <si>
    <t>JUNCAO SIMPLES DIAM. 100 X 100 MM</t>
  </si>
  <si>
    <t>JOELHO 90 GRAUS DIAMETRO 50 MM</t>
  </si>
  <si>
    <t>TE SANITARIO DIAMETRO 100 X 50 MM</t>
  </si>
  <si>
    <t>GRELHA FF 30X90CM, 135KG, P/ CX RALO COM ASSENTAMENTO DE ARGAMASSA CIMENTO/AREIA 1:4</t>
  </si>
  <si>
    <t>SINAPI 83716</t>
  </si>
  <si>
    <t>SECRETARIA MUNICIPAL DE EDUCAÇÃO</t>
  </si>
  <si>
    <t>ADAPTAD.SOLD.CURTO C/BOLSA E ROSCA P/REG.25X3/4"</t>
  </si>
  <si>
    <t>CAIXA DE GORDURA 42 L</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</si>
  <si>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</si>
  <si>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</si>
  <si>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</si>
  <si>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</si>
  <si>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</si>
  <si>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</si>
  <si>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</si>
  <si>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</si>
  <si>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</si>
  <si>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</si>
  <si>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</si>
  <si>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</si>
  <si>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</si>
  <si>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</si>
  <si>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</si>
  <si>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</si>
  <si>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</si>
  <si>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</si>
  <si>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</si>
  <si>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</si>
  <si>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</si>
  <si>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</si>
  <si>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</si>
  <si>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</si>
  <si>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70594</t>
  </si>
  <si>
    <t>CABO PVC (70ºC) 1 KV No. 300 MM2 (VERMELHO)</t>
  </si>
  <si>
    <t>CABO PVC (70ºC) 1 KV No. 150 MM2 (VERDE/AMARELO)</t>
  </si>
  <si>
    <t>70592</t>
  </si>
  <si>
    <t>70589</t>
  </si>
  <si>
    <t>CABO PVC (70ºC) 1 KV No. 70 MM2 (VERMELHO)</t>
  </si>
  <si>
    <t>CABO PVC (70ºC) 1 KV No. 50 MM2 (VERDE/AMARELO)</t>
  </si>
  <si>
    <t>70588</t>
  </si>
  <si>
    <t>70572</t>
  </si>
  <si>
    <t>70571</t>
  </si>
  <si>
    <t>CABO ISOLADO PVC 750 V, No. 25 MM2 (VERMLEHO)</t>
  </si>
  <si>
    <t>CABO ISOLADO PVC 750 V, No. 16 MM2 (VERDE/AMARELO)</t>
  </si>
  <si>
    <t>CABO ISOLADO PVC 750 V, No. 6 MM2 (VERMELHO)</t>
  </si>
  <si>
    <t>CABO ISOLADO PVC 750 V, No. 6 MM2 (VERDE/AMARELO)</t>
  </si>
  <si>
    <t>70565</t>
  </si>
  <si>
    <t>CABO ISOLADO PVC 750 V, No. 2,5 MM2 (VERMELHO)</t>
  </si>
  <si>
    <t>CABO ISOLADO PVC 750 V, No. 2,5 MM2 (VERDE/AMARELO)</t>
  </si>
  <si>
    <t>70563</t>
  </si>
  <si>
    <t>CABO PVC (70ºC) 1 KV No. 1,5 MM2 (VERMELHO)</t>
  </si>
  <si>
    <t>CABO PVC (70ºC) 1 KV No. 1,5 MM2 (PRETO)</t>
  </si>
  <si>
    <t>70580</t>
  </si>
  <si>
    <t>Vide projeto elétrico</t>
  </si>
  <si>
    <t>6.2</t>
  </si>
  <si>
    <t>6.3</t>
  </si>
  <si>
    <t>6.4</t>
  </si>
  <si>
    <t>6.5</t>
  </si>
  <si>
    <t>6.6</t>
  </si>
  <si>
    <t>6.7</t>
  </si>
  <si>
    <t>6.8</t>
  </si>
  <si>
    <t>6.9</t>
  </si>
  <si>
    <t>6.10</t>
  </si>
  <si>
    <t>6.11</t>
  </si>
  <si>
    <t>6.12</t>
  </si>
  <si>
    <t>6.13</t>
  </si>
  <si>
    <t>DISJUNTOR TRIPOLAR DE 10A</t>
  </si>
  <si>
    <t>DISJUNTOR TIPOLAR DE 15A</t>
  </si>
  <si>
    <t>DISJUNTOR TRIPOLAR 20A</t>
  </si>
  <si>
    <t>DISJUNTOR TRIPOLAR 32A</t>
  </si>
  <si>
    <t>DISJUNTOR TRIPOLAR 40A</t>
  </si>
  <si>
    <t>DISJUNTOR TRIPOLAR 60A</t>
  </si>
  <si>
    <t>DISJUNTOR TRIPOLAR 80A</t>
  </si>
  <si>
    <t>DISJUNTOR TRIPOLAR 90A</t>
  </si>
  <si>
    <t>DISJUNTOR TRIPOLAR 160A</t>
  </si>
  <si>
    <t>6.14</t>
  </si>
  <si>
    <t>6.15</t>
  </si>
  <si>
    <t>6.16</t>
  </si>
  <si>
    <t>6.17</t>
  </si>
  <si>
    <t>6.18</t>
  </si>
  <si>
    <t>6.19</t>
  </si>
  <si>
    <t>6.20</t>
  </si>
  <si>
    <t>6.21</t>
  </si>
  <si>
    <t>6.22</t>
  </si>
  <si>
    <t>6.23</t>
  </si>
  <si>
    <t>DISJUNTOR TERMOMAGNETICO TRIPOLAR 500A</t>
  </si>
  <si>
    <t>SINAPI 101899</t>
  </si>
  <si>
    <t>ELETRODUTO PVC FLEXÍVEL - MANGUEIRA CORRUGADA LEVE - DIAM. 25MM</t>
  </si>
  <si>
    <t>ELETRODUTO PVC FLEXÍVEL - MANGUEIRA CORRUGADA LEVE - DIAM. 32MM</t>
  </si>
  <si>
    <t>ELETRODUTO PVC FLEXÍVEL - MANGUEIRA CORRUGADA REFORÇADA - DIAM. 40MM</t>
  </si>
  <si>
    <t>ELETRODUTO PVC FLEXÍVEL - MANGUEIRA CORRUGADA REFORÇADA - DIAM. 50MM</t>
  </si>
  <si>
    <t>6.24</t>
  </si>
  <si>
    <t>6.25</t>
  </si>
  <si>
    <t>6.26</t>
  </si>
  <si>
    <t>6.27</t>
  </si>
  <si>
    <t>QUADRO DE DISTRIBUIÇÃO DE EMBUTIR EM PVC CB 12E - 80A</t>
  </si>
  <si>
    <t>TAMPA PARA CONDULETE DE PVC PARA 1 INTERRUPTOR</t>
  </si>
  <si>
    <t>TAMPA PARA CONDULETE DE PVC PARA 2 INTERRUPTORES</t>
  </si>
  <si>
    <t>TAMPA PARA CONDULETE DE PVC PARA 1 TOMADA</t>
  </si>
  <si>
    <t>TAMPA PARA CONDULETE DE PVC PARA 1 INTERRUPTOR E 1 TOMADA</t>
  </si>
  <si>
    <t>TAMPA CEGA PARA CONDULETE DE PVC</t>
  </si>
  <si>
    <t>LUMINÁRIA DE EMERGÊNCIA 30 LEDS</t>
  </si>
  <si>
    <t>FITA DE AUTO FUSAO, ROLO E 10,00 MM</t>
  </si>
  <si>
    <t>CAIXA METALICA OCTOGONAL FUNDO MOVEL, SIMPLES 2"</t>
  </si>
  <si>
    <t>CONDULETE DE PVC - CAIXA COM 5 ENTRADAS</t>
  </si>
  <si>
    <t>CONECTOR TRIPOLAR EM PORCELANA PARA FIOS DE ATÉ 10MM2 (BORNES) 50A-250V ( CHUVEIRO</t>
  </si>
  <si>
    <t>INTERRUPTOR PARALELO SIMPLES (1 SECAO)</t>
  </si>
  <si>
    <t>INTERRUPTOR SIMPLES (1 SECAO)</t>
  </si>
  <si>
    <t>SINAPI 92025</t>
  </si>
  <si>
    <t>INTERRUPTOR SIMPLES (1 MÓDULO) COM 2 TOMADAS DE EMBUTIR 2P+T 10 A</t>
  </si>
  <si>
    <t>SINAPI 92026</t>
  </si>
  <si>
    <t>INTERRUPTOR SIMPLES (2 MÓDULOS) COM 1 TOMADA DE EMBUTIR 2P+T 10 A,</t>
  </si>
  <si>
    <t>TOMADA HEXAGONAL 2P + T - 10A - 250V (LINHA X OU EQUIVALENTE)</t>
  </si>
  <si>
    <t>TOMADA HEXAGONAL 2P + T - 20A - 250V (LINHA X OU EQUIVALENTE)</t>
  </si>
  <si>
    <t>6.28</t>
  </si>
  <si>
    <t>6.29</t>
  </si>
  <si>
    <t>6.30</t>
  </si>
  <si>
    <t>6.31</t>
  </si>
  <si>
    <t>6.32</t>
  </si>
  <si>
    <t>6.33</t>
  </si>
  <si>
    <t>6.34</t>
  </si>
  <si>
    <t>6.35</t>
  </si>
  <si>
    <t>6.36</t>
  </si>
  <si>
    <t>6.37</t>
  </si>
  <si>
    <t>6.38</t>
  </si>
  <si>
    <t>6.39</t>
  </si>
  <si>
    <t>6.40</t>
  </si>
  <si>
    <t>6.41</t>
  </si>
  <si>
    <t>6.42</t>
  </si>
  <si>
    <t>6.43</t>
  </si>
  <si>
    <t>6.44</t>
  </si>
  <si>
    <t>6.45</t>
  </si>
  <si>
    <t>ÁGUA PLUVIAL</t>
  </si>
  <si>
    <t>JOELHO 90° 200MM</t>
  </si>
  <si>
    <t>TUBO LEVE PVC RIGIDO DIAMETRO 200 MM</t>
  </si>
  <si>
    <t>Vide projeto de aguas pluviais</t>
  </si>
  <si>
    <t>TE SANITARIO DIAMETRO 100 X 100 MM</t>
  </si>
  <si>
    <t>COMPOSIÇÃO 2</t>
  </si>
  <si>
    <t>RALO ABACAXI 200 MM 8''</t>
  </si>
  <si>
    <t>COMPOSIÇÃO 3</t>
  </si>
  <si>
    <t>COMPOSIÇÃO 4</t>
  </si>
  <si>
    <t>COMPOSIÇÃO 5</t>
  </si>
  <si>
    <t>RALO ABACAXI 150MM 6''</t>
  </si>
  <si>
    <t>TUBO LEVE PVC RIGIDO DIAMETRO 150 MM</t>
  </si>
  <si>
    <t>SINAPI 89701</t>
  </si>
  <si>
    <t>SINAPI 89704</t>
  </si>
  <si>
    <t>TÊ, PVC, SERIE R, ÁGUA PLUVIAL, DN 150 X 100 MM, JUNTA ELÁSTICA, FORNECIDO E INSTALADO EM CONDUTORES VERTICAIS DE ÁGUAS PLUVIAIS.</t>
  </si>
  <si>
    <t>REDUÇÃO CONCENTRICA 200X150MM</t>
  </si>
  <si>
    <t>JOELHO 90 GRAUS, PVC, SERIE R, ÁGUA PLUVIAL, DN 150 MM, JUNTA ELÁSTICA, FORNECIDO E INSTALADO EM CONDUTORES VERTICAIS DE ÁGUAS PLUVIAIS</t>
  </si>
  <si>
    <t>SINAPI 89590</t>
  </si>
  <si>
    <t>COMPOSIÇÃO 6</t>
  </si>
  <si>
    <t>7.55</t>
  </si>
  <si>
    <t>7.56</t>
  </si>
  <si>
    <t>7.57</t>
  </si>
  <si>
    <t>7.58</t>
  </si>
  <si>
    <t>7.59</t>
  </si>
  <si>
    <t>7.60</t>
  </si>
  <si>
    <t>7.61</t>
  </si>
  <si>
    <t>7.62</t>
  </si>
  <si>
    <t>7.63</t>
  </si>
  <si>
    <t>7.64</t>
  </si>
  <si>
    <t>7.65</t>
  </si>
  <si>
    <t>7.66</t>
  </si>
  <si>
    <t>TÊ REDUÇÃO 90° SOLDÁVEL 200X200MM</t>
  </si>
  <si>
    <t>LUVA SIMPLES DIAM. 100 MM</t>
  </si>
  <si>
    <t>LUVA SIMPLES, PVC, SERIE R, ÁGUA PLUVIAL, DN 150 MM, JUNTA ELÁSTICA, FORNECIDO E INSTALADO EM CONDUTORES VERTICAIS DE ÁGUAS PLUVIAIS.</t>
  </si>
  <si>
    <t>SINAPI 89677</t>
  </si>
  <si>
    <t>LUVA SIMPLES DIAM. 200 MM</t>
  </si>
  <si>
    <t>COMPOSIÇÃO 8</t>
  </si>
  <si>
    <t>COMPOSIÇÃO 7</t>
  </si>
  <si>
    <t>7.67</t>
  </si>
  <si>
    <t>7.68</t>
  </si>
  <si>
    <t>7.69</t>
  </si>
  <si>
    <t>TÊ, PVC, SERIE R, ÁGUA PLUVIAL, DN 150 X 150 MM, JUNTA ELÁSTICA, FORNECIDO  E INSTALADO EM CONDUTORES VERTICAIS DE ÁGUAS PLUVIAIS.</t>
  </si>
  <si>
    <t>7.70</t>
  </si>
  <si>
    <t>7.71</t>
  </si>
  <si>
    <t>SINAPI 94228</t>
  </si>
  <si>
    <t>CALHA EM CHAPA DE AÇO GALVANIZADO NÚMERO 24, DESENVOLVIMENTO DE 50 CM, INCLUSO TRANSPORTE VERTICAL.</t>
  </si>
  <si>
    <t>Calha 01</t>
  </si>
  <si>
    <t>Calha 02</t>
  </si>
  <si>
    <t>Calha 03</t>
  </si>
  <si>
    <t>DEMOLIÇÃO MANUAL DE CALHA/RUFO EM CHAPA C/TR.ATÉ CB. E CARGA</t>
  </si>
  <si>
    <t>DESENVOLVIMENTO (M)</t>
  </si>
  <si>
    <t>CAIXA DE PASSAGEM 30X30X40CM COM TAMPA E DRENO BRITA</t>
  </si>
  <si>
    <t>CABO DE COBRE NU No. 25 MM2 (4,73 M /KG)</t>
  </si>
  <si>
    <t>HASTE REV.COBRE(COPPERWELD) 3/4" X 2,40 M C/CONECTOR</t>
  </si>
  <si>
    <t>CONECTOR PARA HASTE DE ATERRAMENTO 3/4"</t>
  </si>
  <si>
    <t>COMPOSIÇÃO 9</t>
  </si>
  <si>
    <t>6.46</t>
  </si>
  <si>
    <t>6.47</t>
  </si>
  <si>
    <t>6.48</t>
  </si>
  <si>
    <t>6.49</t>
  </si>
  <si>
    <t>1.17</t>
  </si>
  <si>
    <t>COMPOSIÇÃO 1</t>
  </si>
  <si>
    <t>GRUPO DE SERVIÇO: 176 - ESTRUTURA DE MADEIRAS</t>
  </si>
  <si>
    <t>ESTRUTURA DE MADEIRA</t>
  </si>
  <si>
    <t>ESTRUT.-TELHA DE FIBROCIMENTO (C/TESOURA) C/FERRAGENS</t>
  </si>
  <si>
    <t>Cobertura 1</t>
  </si>
  <si>
    <t>Cobertura 2</t>
  </si>
  <si>
    <t>GRUPO DE SERVIÇO: 178 - COBERTURA</t>
  </si>
  <si>
    <t>COBERTURA COM TELHA ONDULADA OU EQUIV.</t>
  </si>
  <si>
    <t>Calha 04</t>
  </si>
  <si>
    <t>Calha 05</t>
  </si>
  <si>
    <t>GRUPO DE SERVIÇO 182: REVESTIMENTO DE PAREDE</t>
  </si>
  <si>
    <t xml:space="preserve">REVESTIMENTO DE PISO </t>
  </si>
  <si>
    <t xml:space="preserve">GRUPO DE SERVIÇO 184: REVESTIMENTO DE PISO </t>
  </si>
  <si>
    <t>GRUPOS DE SERVIÇO 179: ESQUADRIAS DE MADEIRA</t>
  </si>
  <si>
    <t>ESQUADRIAS MADEIRA</t>
  </si>
  <si>
    <t>1.18</t>
  </si>
  <si>
    <t>1.19</t>
  </si>
  <si>
    <t>1.20</t>
  </si>
  <si>
    <t>4.7</t>
  </si>
  <si>
    <t>15.1</t>
  </si>
  <si>
    <t>15.2</t>
  </si>
  <si>
    <t xml:space="preserve">GRUPO DE SERVIÇO: 172 - ALVENARIA E DIVISÓRIA </t>
  </si>
  <si>
    <t>ALVENARIA E DIVISÓRIA</t>
  </si>
  <si>
    <t>ALVENARIA DE TIJOLO FURADO 1/2 VEZ 14X29X9 - 6 FUROS - ARG. (1CALH:4ARML+100KG DE CI/M3)</t>
  </si>
  <si>
    <t>ÁREA (M²)</t>
  </si>
  <si>
    <t xml:space="preserve"> I. Sanitaria II</t>
  </si>
  <si>
    <t xml:space="preserve">   Parede1</t>
  </si>
  <si>
    <t xml:space="preserve">   Parede 2</t>
  </si>
  <si>
    <t xml:space="preserve">   Parede 3</t>
  </si>
  <si>
    <t xml:space="preserve">   Desconto Vão de janela (1J4)</t>
  </si>
  <si>
    <t xml:space="preserve">   Desconto Vão de janela (1J7)</t>
  </si>
  <si>
    <t xml:space="preserve">   Desconto de vão de porta (2PM1)</t>
  </si>
  <si>
    <t xml:space="preserve"> TOTAL</t>
  </si>
  <si>
    <t xml:space="preserve">   Desconto Vão de janela (1JA8)</t>
  </si>
  <si>
    <t>ARRS</t>
  </si>
  <si>
    <t xml:space="preserve">   Desconto Vão de grade (1GR1)</t>
  </si>
  <si>
    <t xml:space="preserve">   Desconto de cobogos</t>
  </si>
  <si>
    <t>Parede Entrada de Serviço</t>
  </si>
  <si>
    <t xml:space="preserve">I. Sanitária </t>
  </si>
  <si>
    <t>CHAPISCO COMUM</t>
  </si>
  <si>
    <t>RALO ABACAXI 100 MM 4''</t>
  </si>
  <si>
    <t>REMOCAO DE PINTURA ANTIGA A LATEX</t>
  </si>
  <si>
    <t>Maternal III - interno</t>
  </si>
  <si>
    <t xml:space="preserve">   Desconto de Vão Janela (4JA7)</t>
  </si>
  <si>
    <t xml:space="preserve">   Desconto de Vão Porta (2PM1)</t>
  </si>
  <si>
    <t>IMPERMEABILIZAÇÃO DE ALICERCE / "PÉ" DE PAREDE / PEITORIL E ALVENARIA DE UM MODO GERAL COM CIMENTO CRISTALIZANTE SEMI FLEXÍVEL - 2 DEMÃOS ( ESPECÍFICO PARA OBRAS DE REFORMA)</t>
  </si>
  <si>
    <t xml:space="preserve">   Desconto de vão de janela (4JA7)</t>
  </si>
  <si>
    <t>PINT.ESMALTE SINT.PAREDES - 2 DEM.C/SELADOR</t>
  </si>
  <si>
    <t>PINTURA LATEX ACRILICO 2 DEMAOS</t>
  </si>
  <si>
    <t>Maternal III - externo</t>
  </si>
  <si>
    <t xml:space="preserve">   Desconto de Vão Porta (1PM1)</t>
  </si>
  <si>
    <t xml:space="preserve">Maternal III - externo </t>
  </si>
  <si>
    <t>EMASSAMENTO ACRILICO 2 DEMAOS</t>
  </si>
  <si>
    <t xml:space="preserve">I. Sanitária I </t>
  </si>
  <si>
    <t xml:space="preserve">   Desconto de Vão Janela (1JA7)</t>
  </si>
  <si>
    <t xml:space="preserve">   Desconto de Vão Janela (1JA4)</t>
  </si>
  <si>
    <t>IMPERMEABILIZAÇÃO DE PAREDES COM ARGAMASSA DE CIMENTO E AREIA, COM ADITIVO  IMPERMEABILIZANTE, E = 2CM</t>
  </si>
  <si>
    <t>EMBOÇO (1CI:4 ARML)</t>
  </si>
  <si>
    <t>IMPERMEABILIZAÇÃO-REBAIXO BANHEIRO COM 4 DEMÃOS DE EMULSÃO ASFÁLTICA</t>
  </si>
  <si>
    <t>Cuba I. Sanitaria I</t>
  </si>
  <si>
    <t>SINAPI 98561</t>
  </si>
  <si>
    <t>Cuba I. Sanitaria II</t>
  </si>
  <si>
    <t>I. Sanitária II</t>
  </si>
  <si>
    <t xml:space="preserve">   Desconto Vão de Janela (1JA7)</t>
  </si>
  <si>
    <t xml:space="preserve">   Desconto Vão de Janela (1JA4)</t>
  </si>
  <si>
    <t>I. Sanitária I - externo</t>
  </si>
  <si>
    <t>I. Sanitária I - interno</t>
  </si>
  <si>
    <t>I. Sanitária II - interno</t>
  </si>
  <si>
    <t>I. Sanitária II - externo</t>
  </si>
  <si>
    <t>Maternal IV - interno</t>
  </si>
  <si>
    <t>Maternal IV - externo</t>
  </si>
  <si>
    <t xml:space="preserve">Maternal IV - externo </t>
  </si>
  <si>
    <t>Maternal V - interno</t>
  </si>
  <si>
    <t>Maternal V - externo</t>
  </si>
  <si>
    <t xml:space="preserve">Maternal V - externo </t>
  </si>
  <si>
    <t xml:space="preserve">   Desconto Vão de Janela (1PM1)</t>
  </si>
  <si>
    <t>REBOCO (1 CALH:4 ARFC+100kgCI/M3)</t>
  </si>
  <si>
    <t>Maternal VI - alvenaria existente</t>
  </si>
  <si>
    <t>Maternal VI - alvenaria nova</t>
  </si>
  <si>
    <t>Maternal VI - externo</t>
  </si>
  <si>
    <t>Área (m²)</t>
  </si>
  <si>
    <t>Multimeios - alvenaria nova</t>
  </si>
  <si>
    <t>Multimeios - alvenaria existente</t>
  </si>
  <si>
    <t xml:space="preserve">   Desconto de Vão Janela (2JA7)</t>
  </si>
  <si>
    <t xml:space="preserve">Multimeios - interno </t>
  </si>
  <si>
    <t>Multimeios - externo</t>
  </si>
  <si>
    <t>Multimeios - interno</t>
  </si>
  <si>
    <t>Informatica - alvenaria nova</t>
  </si>
  <si>
    <t xml:space="preserve">   Desconto Vão de Porta (1PM1)</t>
  </si>
  <si>
    <t xml:space="preserve">   Desconto Vão de Janela (1JA8)</t>
  </si>
  <si>
    <t>Informatica - alvenaria antiga</t>
  </si>
  <si>
    <t xml:space="preserve">   Desconto de Vão Janela (3JA8)</t>
  </si>
  <si>
    <t>Informatica - interno</t>
  </si>
  <si>
    <t xml:space="preserve">   Desconto de Vão Janela (4JA8)</t>
  </si>
  <si>
    <t>Informatica - externo</t>
  </si>
  <si>
    <t>Refeitorio - alvenaria nova</t>
  </si>
  <si>
    <t>Cozinha - alvenaria nova</t>
  </si>
  <si>
    <t xml:space="preserve">    Desconto Porta (1PM3)</t>
  </si>
  <si>
    <t xml:space="preserve">    Desconto Janela (1JA6)</t>
  </si>
  <si>
    <t xml:space="preserve">   Desconto Janela (2JA10)</t>
  </si>
  <si>
    <t xml:space="preserve">   Desconto Janela (1JA9)</t>
  </si>
  <si>
    <t xml:space="preserve">   Desconto Porta (1PM1)</t>
  </si>
  <si>
    <t xml:space="preserve">   Desconto Porta (4PM3)</t>
  </si>
  <si>
    <t xml:space="preserve">   Desconto de vão Janela (1 JA7)</t>
  </si>
  <si>
    <t xml:space="preserve">   Desconto de vão Janela (1 JA4)</t>
  </si>
  <si>
    <t xml:space="preserve">    Desconto de vão de porta (1 PM1) - Area de servico (nova)</t>
  </si>
  <si>
    <t xml:space="preserve">    Desconto de vão de janela (2 JA5) - Atual cozinha</t>
  </si>
  <si>
    <t xml:space="preserve">    Desconto de vão de porta (3 PM4) - Atual cozinha</t>
  </si>
  <si>
    <t xml:space="preserve">    Desconto Janela (1JA4)</t>
  </si>
  <si>
    <t xml:space="preserve">    Desconto Janela (1JA9)</t>
  </si>
  <si>
    <t>Cozinha+Lactário - teto</t>
  </si>
  <si>
    <t>Despensa - teto</t>
  </si>
  <si>
    <t>Área de serviço - teto</t>
  </si>
  <si>
    <t>DML - teto</t>
  </si>
  <si>
    <t xml:space="preserve">    Desconto de Vão Porta (2PM3)</t>
  </si>
  <si>
    <t xml:space="preserve">    Desconto de Vão Porta (1PM1)</t>
  </si>
  <si>
    <t xml:space="preserve">    Desconto de Vão do Guichê</t>
  </si>
  <si>
    <t xml:space="preserve">    Desconto de Vão Janela (2JA10)</t>
  </si>
  <si>
    <t xml:space="preserve">    Desconto de Vão Janela (1JA7)</t>
  </si>
  <si>
    <t xml:space="preserve">    Desconto de Vão Janela (1JA6)</t>
  </si>
  <si>
    <t>Cozinha + Lactario - externo</t>
  </si>
  <si>
    <t xml:space="preserve">    Desconto de Vão Porta (1PM3)</t>
  </si>
  <si>
    <t xml:space="preserve">    Desconto de Vão Janela (1JA9)</t>
  </si>
  <si>
    <t>Área de serviço - externo</t>
  </si>
  <si>
    <t>DML - externo</t>
  </si>
  <si>
    <t>Refeitório - externo</t>
  </si>
  <si>
    <t xml:space="preserve">   Desconto de Vão Janela (6JA8)</t>
  </si>
  <si>
    <t>SINAPI 102496</t>
  </si>
  <si>
    <t>PINTURA DE RODAPÉ COM TINTA EPÓXI, APLICAÇÃO MANUAL, 2 DEMÃOS, INCLUSÃO PRIMER EPÓXI</t>
  </si>
  <si>
    <t>Berçario II - Cerâmica azul</t>
  </si>
  <si>
    <t>Berçario II - interno</t>
  </si>
  <si>
    <t>Berçario I - interno</t>
  </si>
  <si>
    <t>Jardim I - interno</t>
  </si>
  <si>
    <t xml:space="preserve">   Desconto de Vão PE (2PE)</t>
  </si>
  <si>
    <t xml:space="preserve">   Desconto de Vão Janela (2JA5)</t>
  </si>
  <si>
    <t xml:space="preserve">   Desconto de Vão Porta (2PM3)</t>
  </si>
  <si>
    <t>Berçario II - externo</t>
  </si>
  <si>
    <t>Berçario I - externo</t>
  </si>
  <si>
    <t>Jardim I - externo</t>
  </si>
  <si>
    <t>Fraldário - externo</t>
  </si>
  <si>
    <t>Alimentação - externo</t>
  </si>
  <si>
    <t xml:space="preserve">   Desconto de Vão Janela (2JA6)</t>
  </si>
  <si>
    <t xml:space="preserve">   Desconto de Vão Janela (1JA9)</t>
  </si>
  <si>
    <t>Fraldário - interno</t>
  </si>
  <si>
    <t>Alimentação - interno</t>
  </si>
  <si>
    <t>Jardim I - Cerâmica azul</t>
  </si>
  <si>
    <t>Berçario I - Cerâmica azul</t>
  </si>
  <si>
    <t>Fraldário - Cerâmica azul</t>
  </si>
  <si>
    <t>Alimentação I - Cerâmica azul</t>
  </si>
  <si>
    <t>Jardim II - interno</t>
  </si>
  <si>
    <t>Jardim III - interno</t>
  </si>
  <si>
    <t xml:space="preserve">   Desconto de Vão Porta (1PM3)</t>
  </si>
  <si>
    <t>Jardim II - externo</t>
  </si>
  <si>
    <t>Jardim III - externo</t>
  </si>
  <si>
    <t>WC feminino e WC masculino - externo</t>
  </si>
  <si>
    <t xml:space="preserve">   Desconto de Vão Janela (2JA1)</t>
  </si>
  <si>
    <t>SINAPI 99822</t>
  </si>
  <si>
    <t>LIMPEZA DE PORTA DE MADEIRA</t>
  </si>
  <si>
    <t>Alimentação I - (2PM3)</t>
  </si>
  <si>
    <t>Fraldário I - (2PM3)</t>
  </si>
  <si>
    <t>Berçario I - (2PE)</t>
  </si>
  <si>
    <t>Berçario II - (2PE)</t>
  </si>
  <si>
    <t>Sala dos professores - (1PM3)</t>
  </si>
  <si>
    <t>Almoxarifado - (1PM3)</t>
  </si>
  <si>
    <t>I.S. Func. Masc. - (1PM3)</t>
  </si>
  <si>
    <t>I.S. Func. Fem. - (1PM3)</t>
  </si>
  <si>
    <t>Coordenação - (1PM3)</t>
  </si>
  <si>
    <t>Diretoria - (1PM3)</t>
  </si>
  <si>
    <t>Secretaria - (1PM3)</t>
  </si>
  <si>
    <t>I.S. Sec. - (1PM3)</t>
  </si>
  <si>
    <t>I.S. Dir. - (1PM3)</t>
  </si>
  <si>
    <t>Maternal I - (1PM3)</t>
  </si>
  <si>
    <t>I. Sanitaria - (2PM3)</t>
  </si>
  <si>
    <t>Maternal II - (1PM3)</t>
  </si>
  <si>
    <t>Jardim II - (1PM3)</t>
  </si>
  <si>
    <t>PINTURA C/VERNIZ ACRILICO-02 DEMAOS</t>
  </si>
  <si>
    <t>Maternal III - (1PM1)</t>
  </si>
  <si>
    <t>I. Sanitária I - (2PM1)</t>
  </si>
  <si>
    <t>Maternal IV - (1PM1)</t>
  </si>
  <si>
    <t>Maternal V - (1PM1)</t>
  </si>
  <si>
    <t>I. Sanitaria II - (2PM1)</t>
  </si>
  <si>
    <t>Maternal VI - (1PM1)</t>
  </si>
  <si>
    <t>Multimeios - (1PM1)</t>
  </si>
  <si>
    <t>Informatica - (1PM1)</t>
  </si>
  <si>
    <t>Refeitorio - (1PM3)</t>
  </si>
  <si>
    <t>Refeitorio - (2PM1)</t>
  </si>
  <si>
    <t>Lactario - (1PM3)</t>
  </si>
  <si>
    <t>Cozinha - (1PM1)</t>
  </si>
  <si>
    <t>Cozinha - (1PM3)</t>
  </si>
  <si>
    <t>Despensa - (1PM3)</t>
  </si>
  <si>
    <t>DML - (1PM3)</t>
  </si>
  <si>
    <t>Area de Serviço - (1PM3)</t>
  </si>
  <si>
    <t>Jardim I - (1PM1)</t>
  </si>
  <si>
    <t>Jardim II - (1PM1)</t>
  </si>
  <si>
    <t>Cuba I. Sanitaria</t>
  </si>
  <si>
    <t xml:space="preserve"> Cuba I. Sanitaria II</t>
  </si>
  <si>
    <t>Cuba  I. Sanitaria I</t>
  </si>
  <si>
    <t xml:space="preserve"> Cuba I. Sanitaria </t>
  </si>
  <si>
    <t>Cuba I. Sanitaria WC Masculino</t>
  </si>
  <si>
    <t>Cuba I. Sanitaria WC Feminino</t>
  </si>
  <si>
    <t>Cuba WC Feminino</t>
  </si>
  <si>
    <t>Cuba WC Masculino</t>
  </si>
  <si>
    <t xml:space="preserve">Cuba WC Feminino </t>
  </si>
  <si>
    <t xml:space="preserve">   Desconto Guichê</t>
  </si>
  <si>
    <t xml:space="preserve">    Desconto Guichê </t>
  </si>
  <si>
    <t>Sala de Professores</t>
  </si>
  <si>
    <t xml:space="preserve">    Desconto vão de janela (4JA8)</t>
  </si>
  <si>
    <t xml:space="preserve">    Desconto vão de porta (1PM3)</t>
  </si>
  <si>
    <t xml:space="preserve">    Desconto vão de janela (1JA4)</t>
  </si>
  <si>
    <t xml:space="preserve">    Desconto vão de janela (1JA8)</t>
  </si>
  <si>
    <t xml:space="preserve">Circulação </t>
  </si>
  <si>
    <t xml:space="preserve">    Desconto vão de porta (5PM3)</t>
  </si>
  <si>
    <t>Espera</t>
  </si>
  <si>
    <t xml:space="preserve">    Desconto vão de porta (2PM3)</t>
  </si>
  <si>
    <t xml:space="preserve">    Desconto vão de porta (1PV1)</t>
  </si>
  <si>
    <t xml:space="preserve">    Desconto vão de guichê</t>
  </si>
  <si>
    <t xml:space="preserve">    Desconto vão de janela (2JA7)</t>
  </si>
  <si>
    <t>Bloco Administrativo (externo)</t>
  </si>
  <si>
    <t xml:space="preserve">    Desconto vão de janela (6JA8)</t>
  </si>
  <si>
    <t xml:space="preserve">    Desconto vão de janela (2JA4)</t>
  </si>
  <si>
    <t xml:space="preserve">    Desconto vão de janela (4JA7)</t>
  </si>
  <si>
    <t xml:space="preserve">    Desconto vão de janela (2JA3)</t>
  </si>
  <si>
    <t xml:space="preserve">    Desconto vão de janela (2JA2)</t>
  </si>
  <si>
    <t>I.S. Secretaria</t>
  </si>
  <si>
    <t xml:space="preserve">    Desconto vão de janela (1JA2)</t>
  </si>
  <si>
    <t>I.S. Diretoria</t>
  </si>
  <si>
    <t>I.S. Funcionário Masculino</t>
  </si>
  <si>
    <t xml:space="preserve">    Desconto vão de janela (1JA3)</t>
  </si>
  <si>
    <t>I.S. Funcionário Feminino</t>
  </si>
  <si>
    <t>DIVISORIA DE GRANITO POLIDO</t>
  </si>
  <si>
    <t>I.Sanitário I</t>
  </si>
  <si>
    <t xml:space="preserve">  Divisória 1</t>
  </si>
  <si>
    <t xml:space="preserve">  Divsória 2</t>
  </si>
  <si>
    <t xml:space="preserve">  Divisória 3</t>
  </si>
  <si>
    <t xml:space="preserve">  Divisória 4</t>
  </si>
  <si>
    <t xml:space="preserve">  Divisória 5</t>
  </si>
  <si>
    <t xml:space="preserve">  Divisória 6</t>
  </si>
  <si>
    <t xml:space="preserve">  Divisória 7</t>
  </si>
  <si>
    <t xml:space="preserve">  Divisória 8</t>
  </si>
  <si>
    <t xml:space="preserve">  Divisória 9</t>
  </si>
  <si>
    <t xml:space="preserve">  Divisória 10</t>
  </si>
  <si>
    <t xml:space="preserve">  Divisória 11</t>
  </si>
  <si>
    <t xml:space="preserve">  Divisória 12</t>
  </si>
  <si>
    <t xml:space="preserve">  Divisória 13</t>
  </si>
  <si>
    <t xml:space="preserve">  Divisória 14</t>
  </si>
  <si>
    <t>PINT.POLIESPORTIVA - 2 DEM.(PISOS E CIMENTADOS)</t>
  </si>
  <si>
    <t>MUROS CMEI RUTH SILVA</t>
  </si>
  <si>
    <t xml:space="preserve">   Muro Frontal</t>
  </si>
  <si>
    <t xml:space="preserve">   Muro Fundo</t>
  </si>
  <si>
    <t xml:space="preserve">   Muro Lateral Esquerdo</t>
  </si>
  <si>
    <t>MUROS CMEI RUTH SILVA (FACE INTERNA E EXTERNA)</t>
  </si>
  <si>
    <t>GRUPO DE SERVIÇO: 180 - ESQUADRIAS METÁLICAS</t>
  </si>
  <si>
    <t>GRUPO DE SERVIÇO: 171 - INSTALAÇÕES ESPECIAIS</t>
  </si>
  <si>
    <t>INSTALAÇÕES ESPECIAIS</t>
  </si>
  <si>
    <t>GRUPO DE SERVIÇO 171: INSTALAÇÕES ESPECIAIS</t>
  </si>
  <si>
    <t>10.3</t>
  </si>
  <si>
    <t>10.4</t>
  </si>
  <si>
    <t>10.5</t>
  </si>
  <si>
    <t>ESQUADRIAS METÁLICAS</t>
  </si>
  <si>
    <t>GRUPO DE SERVIÇO 180: ESQUADRIAS METÁLICAS</t>
  </si>
  <si>
    <t>15.3</t>
  </si>
  <si>
    <t>15.4</t>
  </si>
  <si>
    <t>17.3</t>
  </si>
  <si>
    <t>17.4</t>
  </si>
  <si>
    <t>17.5</t>
  </si>
  <si>
    <t>17.6</t>
  </si>
  <si>
    <t>17.7</t>
  </si>
  <si>
    <t>17.8</t>
  </si>
  <si>
    <t>17.9</t>
  </si>
  <si>
    <t>20.2</t>
  </si>
  <si>
    <t>20.5</t>
  </si>
  <si>
    <t>20.6</t>
  </si>
  <si>
    <t>20.7</t>
  </si>
  <si>
    <t>20.8</t>
  </si>
  <si>
    <t>20.9</t>
  </si>
  <si>
    <t>21.1</t>
  </si>
  <si>
    <t>21.2</t>
  </si>
  <si>
    <t>21.3</t>
  </si>
  <si>
    <t>21.4</t>
  </si>
  <si>
    <t>21.5</t>
  </si>
  <si>
    <t>21.6</t>
  </si>
  <si>
    <t>94573 SINAPI</t>
  </si>
  <si>
    <t>JANELA DE ALUMÍNIO DE CORRER COM 4 FOLHAS PARA VIDROS, COM VIDROS, BATENTE ACABAMENTO COM ACETATO OU BRILHANTE E FERRAGENS</t>
  </si>
  <si>
    <t xml:space="preserve">   4 Janelas JA7</t>
  </si>
  <si>
    <t>I. Sanitária I</t>
  </si>
  <si>
    <t xml:space="preserve">   1 Janela JA7</t>
  </si>
  <si>
    <t xml:space="preserve">   1 Janela JA4</t>
  </si>
  <si>
    <t xml:space="preserve">   2 Janelas JA7</t>
  </si>
  <si>
    <t xml:space="preserve">   4 Janelas JA8</t>
  </si>
  <si>
    <t xml:space="preserve">   6 Janelas JA8</t>
  </si>
  <si>
    <t xml:space="preserve">   2 Janelas JA10</t>
  </si>
  <si>
    <t xml:space="preserve">   1 Janela JA10</t>
  </si>
  <si>
    <t>cj</t>
  </si>
  <si>
    <t>Jardim Pátio Coberto</t>
  </si>
  <si>
    <t>14.2</t>
  </si>
  <si>
    <t>PORTAO /CHAPA TRAPEZ / TUBO DE ACO PT-5 C/FERRAGEM</t>
  </si>
  <si>
    <t>Portão de entrada - PE1</t>
  </si>
  <si>
    <t>Portão de entrada - PE2</t>
  </si>
  <si>
    <t>PORTAO DE ABRIR CHAPA 14 PT-4 C/FERRAGENS</t>
  </si>
  <si>
    <t>PORTAO DE TELA E CANO GALVANIZ. PT 9 C/FERRAGENS</t>
  </si>
  <si>
    <t>14.3</t>
  </si>
  <si>
    <t>14.4</t>
  </si>
  <si>
    <t>Entrada de serviço</t>
  </si>
  <si>
    <t>20.10</t>
  </si>
  <si>
    <t>FUNDO ANTICORROSIVO PARA ESQUADRIAS METÁLICAS</t>
  </si>
  <si>
    <t>ARRS - Portão GR1</t>
  </si>
  <si>
    <t>Entrada area de serviço - Portão GR1</t>
  </si>
  <si>
    <t>20.11</t>
  </si>
  <si>
    <t>PINT.ESMALTE S/ANTICOR 2 DEMAOS</t>
  </si>
  <si>
    <t>20.12</t>
  </si>
  <si>
    <t>12.3</t>
  </si>
  <si>
    <t>RUFO DE CHAPA GALVANIZADA</t>
  </si>
  <si>
    <t>Platibanda (cozinha)</t>
  </si>
  <si>
    <t>Platibanda (cozinha) (Face interna e externa)</t>
  </si>
  <si>
    <t>Platibanda Jardim I (Face aparente)</t>
  </si>
  <si>
    <t>Platibanda Berçário I (Face aparente)</t>
  </si>
  <si>
    <t>Platibanda Bercário II (Face aparente)</t>
  </si>
  <si>
    <t>Platibanda DML/Área de Serviço (Face aparente)</t>
  </si>
  <si>
    <t>Platibanda (cozinha) (Face aparente)</t>
  </si>
  <si>
    <t>Bloco Administrativo</t>
  </si>
  <si>
    <t>Platibanda Corredor de Entrada</t>
  </si>
  <si>
    <t>Teto</t>
  </si>
  <si>
    <t xml:space="preserve">   Varanda Jardim I</t>
  </si>
  <si>
    <t xml:space="preserve">   Varanda Berçário I</t>
  </si>
  <si>
    <t xml:space="preserve">   Varanda Berçário II</t>
  </si>
  <si>
    <t xml:space="preserve">   Solário Jardim I</t>
  </si>
  <si>
    <t xml:space="preserve">   Solário Berçário I</t>
  </si>
  <si>
    <t xml:space="preserve">   Solário Berçário II</t>
  </si>
  <si>
    <t xml:space="preserve">   Solário DML/Área de serviço</t>
  </si>
  <si>
    <t>9.3</t>
  </si>
  <si>
    <t>ELEMENTO VAZADO CERAMICO (6 x 18 x 18)</t>
  </si>
  <si>
    <t>Muro de entrada de serviço</t>
  </si>
  <si>
    <t>14.5</t>
  </si>
  <si>
    <t>GUARDA CORPO COM CORRIMÃO/TUBO IND. E TELA ARTÍSTICA GC-2</t>
  </si>
  <si>
    <t>Solário berçario I</t>
  </si>
  <si>
    <t>Solário berçario II</t>
  </si>
  <si>
    <t>21.7</t>
  </si>
  <si>
    <t>ALAMBRADO CANO FERRO GALVANIZADO 2" E TELA H=2M PADRÃO GOINFRA</t>
  </si>
  <si>
    <t>Jardim Frontal</t>
  </si>
  <si>
    <t>Alvenaria do jardim frontal</t>
  </si>
  <si>
    <t xml:space="preserve">I. Sanitaria </t>
  </si>
  <si>
    <t xml:space="preserve">I. S. Secr. </t>
  </si>
  <si>
    <t>I. S. Diretoria</t>
  </si>
  <si>
    <t>Secretaria - Area 1</t>
  </si>
  <si>
    <t>Secretaria - Area 2</t>
  </si>
  <si>
    <t>I.S. Func. Feminino</t>
  </si>
  <si>
    <t>I.S. Func. Masculino</t>
  </si>
  <si>
    <t>17.10</t>
  </si>
  <si>
    <t>PISO DE LADRILHO HIDRÁULICO COLORIDO MODELO TÁTIL ( ALERTA OU DIRECIONAL) SEM LASTRO</t>
  </si>
  <si>
    <t>Calçada externa</t>
  </si>
  <si>
    <t>Rampa de entrada</t>
  </si>
  <si>
    <t>h</t>
  </si>
  <si>
    <t>INCÊNDIO</t>
  </si>
  <si>
    <t>7.72</t>
  </si>
  <si>
    <t>EXTINTOR CO2 (6 KG) - CAPACIDADE EXTINTORA 5 BC</t>
  </si>
  <si>
    <t>7.73</t>
  </si>
  <si>
    <t>EXTINTOR PO QUIMICO SECO (6 KG) - CAPACIDADE EXTINTORA 20 BC</t>
  </si>
  <si>
    <t>Varanda Jardim/Berçario I</t>
  </si>
  <si>
    <t>Entrada</t>
  </si>
  <si>
    <t xml:space="preserve">Pátio Coberto </t>
  </si>
  <si>
    <t>PLACA DE SINALIZAÇÃO - 13X26 CM - LETREIRO SAÍDA</t>
  </si>
  <si>
    <t>SEINFRA</t>
  </si>
  <si>
    <t>PLACA DE SINALIZAÇÃO - 13X26 CM - SAÍDA SETA DIREITA</t>
  </si>
  <si>
    <t>PLACA DE SINALIZAÇÃO - 13X26 CM - SAÍDA SETA ESQUERDA</t>
  </si>
  <si>
    <t>PLACA DE SINALIZAÇÃO - 20X20 CM - EXTINTOR</t>
  </si>
  <si>
    <t>COMPOSIÇÃO 10</t>
  </si>
  <si>
    <t>7.74</t>
  </si>
  <si>
    <t>7.75</t>
  </si>
  <si>
    <t>7.76</t>
  </si>
  <si>
    <t>7.77</t>
  </si>
  <si>
    <t>COMPOSIÇÃO 11</t>
  </si>
  <si>
    <t>COMPOSIÇÃO 12</t>
  </si>
  <si>
    <t>COMPOSIÇÃO 13</t>
  </si>
  <si>
    <t>Vide projeto de combate a incêndio</t>
  </si>
  <si>
    <t>CENTRAL DE GÁS PADRÃO GOINFRA/2019 COMPLETA, EXCLUSO AS INSTALAÇÕES MECÂNICAS (1+1 CILINDRO P-45)</t>
  </si>
  <si>
    <t>Vide projeto de GLP</t>
  </si>
  <si>
    <t>8.1</t>
  </si>
  <si>
    <t>TUBO DE AÇO GALVANIZADO 3/4" SCHEDULE 40, ROSCA NPT - NBR 5590</t>
  </si>
  <si>
    <t>COTOVELO 90º FERRO MALEÁVEL GALVANIZADO 3/4" CLASSE 150 ROSCA NPT NBR 6925</t>
  </si>
  <si>
    <t>TE DE FERRO MALEÁVEL GALVANIZADO 3/4" CLASSE 150 ROSCA NPT NBR 6925</t>
  </si>
  <si>
    <t>LUVA REDUÇÃO DE FERRO MALEÁVEL GALVANIZADO 3/4" X 1/2", CLASSE 150, ROSCA NPT - NBR 6925</t>
  </si>
  <si>
    <t>VÁLVULA DE ESFERA TRIPARTIDA 3/4", PASSAGEM PLENA, ROSCA NPT, CLASSE 300 - NORMA ASME B16.34</t>
  </si>
  <si>
    <t>VÁLVULA DE RETENÇÃO EM LATÃO 7/16" NS (I) X 1/2" NPT (E)</t>
  </si>
  <si>
    <t>CHICOTE "PIGTAIL" FLEXÍVEL PARA P-45 DE MANGUEIRA NITRÍLICA COM COMPRIMENTO DE 500 MM E ROSCA DAS CONEXÕES DE 7/8" R.E. X 7/16"NS OU M20 X 7/16" NS - NBR 13419</t>
  </si>
  <si>
    <t>SUPORTE "L" , EM FERRO CHATO 1/8" X 1" PINTADO (42CM) PARA TUBO DE AÇO GALVANIZADO 3/4" - INCLUSO ABRAÇADEIRA TIPO "U" 3/4"/PARAFUSOS/PORCAS/ ARRUELAS, BEM COMO A FIXAÇÃO NA PAREDE COM BUCHAS/PARAFUSOS.</t>
  </si>
  <si>
    <t>PLACA DE SINALIZAÇÃO EM ALUMÍNIO 35 X 25 CM - "PERIGO - GÁS INFLAMÁVEL - PROIBIDO FUMAR</t>
  </si>
  <si>
    <t>REGULADOR DE PRESSÃO PRIMEIRO ESTÁGIO, 8 KG/H, REGULÁVEL COM MANÔMETRO, PRESSÃO DE ENTRADA 2 A 18 BAR E PRESSÃO DE SAÍDA 0,5 A 2 BAR, CONEXÕES DE ENTRADA E SAÍDA 1/4" NPT</t>
  </si>
  <si>
    <t>8.2</t>
  </si>
  <si>
    <t>8.3</t>
  </si>
  <si>
    <t>8.4</t>
  </si>
  <si>
    <t>8.5</t>
  </si>
  <si>
    <t>8.6</t>
  </si>
  <si>
    <t>8.7</t>
  </si>
  <si>
    <t>8.8</t>
  </si>
  <si>
    <t>8.9</t>
  </si>
  <si>
    <t>8.10</t>
  </si>
  <si>
    <t>8.11</t>
  </si>
  <si>
    <t>FORMA DE TABUA CINTA BALDRAME U=8 VEZES</t>
  </si>
  <si>
    <t>Viga baldrame - duas faces</t>
  </si>
  <si>
    <t>ACO CA-50A - 10,0 MM (3/8") - (OBRAS CIVIS)</t>
  </si>
  <si>
    <t>Viga baldrame 01</t>
  </si>
  <si>
    <t>ACO CA - 60 - 5,0 MM - (OBRAS CIVIS)</t>
  </si>
  <si>
    <t>Viga baldrame 02</t>
  </si>
  <si>
    <t>Viga baldrame 03</t>
  </si>
  <si>
    <t>Viga baldrame 04</t>
  </si>
  <si>
    <t>PREPARO COM BETONEIRA E TRANSPORTE MANUAL DE CONCRETO FCK=25 MPA</t>
  </si>
  <si>
    <t>AREA SEÇÃO (M²)</t>
  </si>
  <si>
    <t>LANÇAMENTO/APLICAÇÃO/ADENSAMENTO MANUAL DE CONCRETO - (OBRAS CIVIS)</t>
  </si>
  <si>
    <t>FORMA CH.COMPENSADA 12MM-VIGA/PILAR U=4V - (OBRAS CIVIS</t>
  </si>
  <si>
    <t>Viga de cobertura</t>
  </si>
  <si>
    <t>Viga de cobertura 01</t>
  </si>
  <si>
    <t>Viga de cobertura 02</t>
  </si>
  <si>
    <t>Viga de cobertura 03</t>
  </si>
  <si>
    <t>Viga de cobertura 04</t>
  </si>
  <si>
    <t xml:space="preserve">Pilar </t>
  </si>
  <si>
    <t>Pilar 01</t>
  </si>
  <si>
    <t>Pilar 02</t>
  </si>
  <si>
    <t>Pilar 03</t>
  </si>
  <si>
    <t>Pilar 04</t>
  </si>
  <si>
    <t>5.2</t>
  </si>
  <si>
    <t>5.3</t>
  </si>
  <si>
    <t>5.4</t>
  </si>
  <si>
    <t>5.5</t>
  </si>
  <si>
    <t>5.6</t>
  </si>
  <si>
    <t>5.7</t>
  </si>
  <si>
    <t>EST.MAD.TELHA FIBROCIM. COM APOIOS EM LAJES/VIGAS OU PAREDES(SOMENTE TERÇAS ) C/FERRAGENS</t>
  </si>
  <si>
    <t>11.2</t>
  </si>
  <si>
    <t>I. Sanitario I e II</t>
  </si>
  <si>
    <t>CHUVEIRO METÁLICO COM BRAÇO METÁLICO ( DUCHA FRIA)</t>
  </si>
  <si>
    <t>7.78</t>
  </si>
  <si>
    <t>7.79</t>
  </si>
  <si>
    <t>Entrada lateral esquerda</t>
  </si>
  <si>
    <t>Entrada lateral esquerda - GR1</t>
  </si>
  <si>
    <t>Maternal III (4JA7)</t>
  </si>
  <si>
    <t>Maternal VI (4JA7)</t>
  </si>
  <si>
    <t>Maternal V (4JA7)</t>
  </si>
  <si>
    <t>I. Sanitario II (1JA4)</t>
  </si>
  <si>
    <t>I. Sanitario II (1JA7)</t>
  </si>
  <si>
    <t>I. Sanitario II - Cuba</t>
  </si>
  <si>
    <t>I. Sanitario I (1JA4)</t>
  </si>
  <si>
    <t>I. Sanitario I (1JA7)</t>
  </si>
  <si>
    <t>I. Sanitario I - Cuba</t>
  </si>
  <si>
    <t>Maternal IV (4JA7)</t>
  </si>
  <si>
    <t>Multimeios (2JA7)</t>
  </si>
  <si>
    <t>Informatica - (4JA8)</t>
  </si>
  <si>
    <t>Refeitório (6JA8)</t>
  </si>
  <si>
    <t>Cozinha (1JA7)</t>
  </si>
  <si>
    <t>Cozinha (2JA10)</t>
  </si>
  <si>
    <t>Lactario (1JA6)</t>
  </si>
  <si>
    <t>Lactario (2JA6)</t>
  </si>
  <si>
    <t>Guiche</t>
  </si>
  <si>
    <t>Area de servico (1JA10)</t>
  </si>
  <si>
    <t>Area de servico (1JA4)</t>
  </si>
  <si>
    <t>Jardim III (4JA8)</t>
  </si>
  <si>
    <t xml:space="preserve">   2 Janela JA6</t>
  </si>
  <si>
    <t>I. Sanitaria - cuba</t>
  </si>
  <si>
    <t>15.5</t>
  </si>
  <si>
    <t>MOLDURA TIPO "U" INVERTIDO EM ARGAMASSA COM 2CM DE ESPESSURA TIPO PINGADEIRA EM MURO/PLATIBANDA ( A PARTE VERTICAL DESCE 2,5CM)</t>
  </si>
  <si>
    <t>Platibanda da cozinha/area de servico/despensa/DML</t>
  </si>
  <si>
    <t>COMPOSIÇÃO 14</t>
  </si>
  <si>
    <t>ESPELHO 40X50 CM</t>
  </si>
  <si>
    <t xml:space="preserve">WC masculino </t>
  </si>
  <si>
    <t xml:space="preserve">WC feminino </t>
  </si>
  <si>
    <t>21.8</t>
  </si>
  <si>
    <t>COMP.</t>
  </si>
  <si>
    <t>14.6</t>
  </si>
  <si>
    <t>I. Sanitaria I (1JA4)</t>
  </si>
  <si>
    <t>I. Sanitaria II (1JA7)</t>
  </si>
  <si>
    <t>I. Sanitaria II (1JA4)</t>
  </si>
  <si>
    <t>I. Sanitaria I (1JA7)</t>
  </si>
  <si>
    <t>Informatica (4JA8)</t>
  </si>
  <si>
    <t>Refeitorio (6JA8)</t>
  </si>
  <si>
    <t>Jardim I (4JA8)</t>
  </si>
  <si>
    <t>Jardim II (4JA8)</t>
  </si>
  <si>
    <t>Local a ser definido pela fiscalização</t>
  </si>
  <si>
    <t>PORTA PAPEL HIGIÊNICO EM METAL/ACABAMENTO CROMADO</t>
  </si>
  <si>
    <t>CABIDE TIPO GANCHO EM LOUÇA</t>
  </si>
  <si>
    <t>SINAPI 95547</t>
  </si>
  <si>
    <t>SABONETEIRA PLASTICA TIPO DISPENSER PARA SABONETE LIQUIDO COM RESERVATORIO UN 800 A 1500 ML, INCLUSO FIXAÇÃO</t>
  </si>
  <si>
    <t>Bercario II</t>
  </si>
  <si>
    <t xml:space="preserve">Espera </t>
  </si>
  <si>
    <t xml:space="preserve">Secretaria </t>
  </si>
  <si>
    <t>Patio Coberto</t>
  </si>
  <si>
    <t>7.80</t>
  </si>
  <si>
    <t>7.81</t>
  </si>
  <si>
    <t>7.82</t>
  </si>
  <si>
    <t>VASO SANITARIO INFANTIL COM CAIXA ACOPLADA</t>
  </si>
  <si>
    <t>ANEL DE VEDAÇÃO PARA VASO SANITÁRIO</t>
  </si>
  <si>
    <t>COMPOSIÇÃO 15</t>
  </si>
  <si>
    <t>SINAPI 100851</t>
  </si>
  <si>
    <t>ASSENTO SANITÁRIO INFANTIL</t>
  </si>
  <si>
    <t>CUBA INOX 56X34X17CM E=0,6MM-AÇO 304 (CUBA Nº2)</t>
  </si>
  <si>
    <t>CUBA INOX 35X40X15CM E=0,6MM-AÇO 304 (CUBA Nº 3)</t>
  </si>
  <si>
    <t>TANQUE (PANELAO) INOX 60 X 70 X 40 CM CH.18</t>
  </si>
  <si>
    <t>TANQUE MARMORE/GRANITO SINTÉTICO C/UMA CUBA E 1 BATEDOR</t>
  </si>
  <si>
    <t>TANQUE MARMORE/GRANITO SINTÉTICO / 1 BATEDOR</t>
  </si>
  <si>
    <t>DML</t>
  </si>
  <si>
    <t>VALVULA P/PIA TIPO AMERICANA DIAM.3.1/2" (METAL)</t>
  </si>
  <si>
    <t>PORTA DE ABRIR ALUMÍNIO NATURAL EM VENEZIANA C/FERRAGENS (M.O.FAB.INC.MAT.)</t>
  </si>
  <si>
    <t>14.7</t>
  </si>
  <si>
    <t>WC feminino - 01</t>
  </si>
  <si>
    <t>WC feminino - 02</t>
  </si>
  <si>
    <t>WC masculino - 01</t>
  </si>
  <si>
    <t>WC masculino - 02</t>
  </si>
  <si>
    <t>21.9</t>
  </si>
  <si>
    <t>BANCO DE CONCRETO POLIDO BASE EM ALVENARIA REBOCADA E PINTADA - PADRÃO GOINFRA</t>
  </si>
  <si>
    <t>I. Sanitaria I (B01)</t>
  </si>
  <si>
    <t>I. Sanitaria II (B02)</t>
  </si>
  <si>
    <t>Area de serviço (B03)</t>
  </si>
  <si>
    <t>1.21</t>
  </si>
  <si>
    <t>REMOÇÃO MANUAL DE BACIA SANITÁRIA C/ TRANSP. ATÉ CB. E CARGA</t>
  </si>
  <si>
    <t>CONJUNTO DE FIXACAO P/VASO SANITARIO (PAR)</t>
  </si>
  <si>
    <t>COMPOSIÇÃO 16</t>
  </si>
  <si>
    <t>DUCHA HIGIENICA</t>
  </si>
  <si>
    <t>18.3</t>
  </si>
  <si>
    <t>BARRA DE APOIO EM AÇO INOX - 80 CM</t>
  </si>
  <si>
    <t>COMPOSIÇÃO 17</t>
  </si>
  <si>
    <t>BANCADA EM GRANITO INSTALADA</t>
  </si>
  <si>
    <t>7.83</t>
  </si>
  <si>
    <t>7.84</t>
  </si>
  <si>
    <t>7.85</t>
  </si>
  <si>
    <t>7.86</t>
  </si>
  <si>
    <t>7.87</t>
  </si>
  <si>
    <t>7.88</t>
  </si>
  <si>
    <t>7.89</t>
  </si>
  <si>
    <t>7.90</t>
  </si>
  <si>
    <t>7.91</t>
  </si>
  <si>
    <t>7.92</t>
  </si>
  <si>
    <t>7.93</t>
  </si>
  <si>
    <t>AGUA PLUVIAL</t>
  </si>
  <si>
    <t>ESGOTO SANITÁRIO</t>
  </si>
  <si>
    <t>LOUÇAS E AGUA FRIA</t>
  </si>
  <si>
    <t>3 horas por dia</t>
  </si>
  <si>
    <t>14.8</t>
  </si>
  <si>
    <t>PORTA DE ENROLAR C/FERRAGENS</t>
  </si>
  <si>
    <t>Guiche - Lactario</t>
  </si>
  <si>
    <t>Rua 404, n° 158, Pontal Norte</t>
  </si>
  <si>
    <t>Rua 404, n°158, Pontal Norte</t>
  </si>
  <si>
    <t>Aprovado por:</t>
  </si>
  <si>
    <t>Elaborado por:</t>
  </si>
  <si>
    <t>Leonardo Pereira Santa Cecília</t>
  </si>
  <si>
    <t>José Amaral da Silva Neto</t>
  </si>
  <si>
    <t>Secretário Municipal de Educação</t>
  </si>
  <si>
    <t>CREA: 1020178795/D-GO</t>
  </si>
  <si>
    <t>SEINFRA C2089</t>
  </si>
  <si>
    <t xml:space="preserve">QUADRO DE FORÇA, C/ BARRAMENTO (1.80X1.90X0.60)M </t>
  </si>
  <si>
    <t>Maternal I - Ceramica azul</t>
  </si>
  <si>
    <t>I. Sanitario - ceramica azul</t>
  </si>
  <si>
    <t>Maternal II - ceramica azul</t>
  </si>
  <si>
    <t>TABELA 027.1 SEINFRA - (MARÇO/2021)</t>
  </si>
  <si>
    <t>BDI (23,88):</t>
  </si>
  <si>
    <t xml:space="preserve">Cuba I. Sanitaria </t>
  </si>
  <si>
    <t>Muro Frontal</t>
  </si>
  <si>
    <t>Muro Lateral Esquerdo</t>
  </si>
  <si>
    <t>Muro Fundo</t>
  </si>
  <si>
    <t xml:space="preserve">   Desconto de Vão Guichê</t>
  </si>
  <si>
    <t xml:space="preserve">    Desconto de Vão Guichê</t>
  </si>
  <si>
    <t xml:space="preserve">   Desconto (2PM3)</t>
  </si>
  <si>
    <t xml:space="preserve">   Desconto (2PME)</t>
  </si>
  <si>
    <t xml:space="preserve">   Desconto (1PM1)</t>
  </si>
  <si>
    <t>Portão de entrada - PE2 - 2 faces</t>
  </si>
  <si>
    <t>Portão de entrada - PE1 -  2 faces</t>
  </si>
  <si>
    <t>PINTURA ESMALTE ALQUIDICO ESTR.METALICA 2 DEMAOS - CONSIDERANDO FACE INTERNA E EXTERNA</t>
  </si>
  <si>
    <t>GRADE DE PROTECAO/TUBO INDUSTRIAL/FERRO REDONDO-GP5</t>
  </si>
  <si>
    <t>ENCARREGADO - (OBRAS CIVIS)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</si>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</sst>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_-&quot;R$&quot;\ * #,##0.00_-;\-&quot;R$&quot;\ * #,##0.00_-;_-&quot;R$&quot;\ * &quot;-&quot;??_-;_-@_-"/>
    <numFmt numFmtId="165" formatCode="_(&quot;R$ &quot;* #,##0.00_);_(&quot;R$ &quot;* \(#,##0.00\);_(&quot;R$ &quot;* &quot;-&quot;??_);_(@_)"/>
    <numFmt numFmtId="166" formatCode="0.000"/>
  </numFmts>
  <fonts count="17" x14ac:knownFonts="1">
    <font>
      <sz val="11"/>
      <color theme="1"/>
      <name val="Calibri"/>
      <family val="2"/>
      <scheme val="minor"/>
    </font>
    <font>
      <sz val="11"/>
      <color theme="1"/>
      <name val="Calibri"/>
      <family val="2"/>
      <scheme val="minor"/>
    </font>
    <font>
      <sz val="12"/>
      <color theme="1"/>
      <name val="Arial"/>
      <family val="2"/>
    </font>
    <font>
      <sz val="11"/>
      <color theme="1"/>
      <name val="Arial"/>
      <family val="2"/>
    </font>
    <font>
      <b/>
      <sz val="11"/>
      <color theme="1"/>
      <name val="Arial"/>
      <family val="2"/>
    </font>
    <font>
      <sz val="8"/>
      <name val="Calibri"/>
      <family val="2"/>
      <scheme val="minor"/>
    </font>
    <font>
      <sz val="10"/>
      <name val="Arial"/>
      <family val="2"/>
    </font>
    <font>
      <sz val="11"/>
      <color rgb="FF000000"/>
      <name val="Arial"/>
      <family val="2"/>
    </font>
    <font>
      <sz val="11"/>
      <name val="Arial"/>
      <family val="2"/>
    </font>
    <font>
      <b/>
      <sz val="12"/>
      <name val="Arial"/>
      <family val="2"/>
    </font>
    <font>
      <b/>
      <sz val="14"/>
      <color theme="1"/>
      <name val="Arial"/>
      <family val="2"/>
    </font>
    <font>
      <b/>
      <sz val="12"/>
      <color theme="1"/>
      <name val="Arial"/>
      <family val="2"/>
    </font>
    <font>
      <sz val="12"/>
      <name val="Calibri"/>
      <family val="2"/>
      <scheme val="minor"/>
    </font>
    <font>
      <sz val="12"/>
      <name val="Arial"/>
      <family val="2"/>
    </font>
    <font>
      <b/>
      <sz val="12"/>
      <color rgb="FF000000"/>
      <name val="Arial"/>
      <family val="2"/>
    </font>
    <font>
      <sz val="14"/>
      <color theme="1"/>
      <name val="Arial"/>
      <family val="2"/>
    </font>
    <font>
      <sz val="14"/>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medium">
        <color indexed="64"/>
      </left>
      <right style="thin">
        <color theme="2" tint="-0.249977111117893"/>
      </right>
      <top style="thin">
        <color theme="2" tint="-0.249977111117893"/>
      </top>
      <bottom style="thin">
        <color theme="2" tint="-0.249977111117893"/>
      </bottom>
      <diagonal/>
    </border>
    <border>
      <left style="thin">
        <color theme="2" tint="-0.249977111117893"/>
      </left>
      <right style="medium">
        <color indexed="64"/>
      </right>
      <top style="thin">
        <color theme="2" tint="-0.249977111117893"/>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medium">
        <color indexed="64"/>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indexed="64"/>
      </right>
      <top/>
      <bottom/>
      <diagonal/>
    </border>
    <border>
      <left style="medium">
        <color indexed="64"/>
      </left>
      <right/>
      <top style="thin">
        <color theme="2" tint="-0.249977111117893"/>
      </top>
      <bottom/>
      <diagonal/>
    </border>
    <border>
      <left/>
      <right/>
      <top style="thin">
        <color theme="2" tint="-0.249977111117893"/>
      </top>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medium">
        <color indexed="64"/>
      </left>
      <right style="thin">
        <color theme="2" tint="-0.249977111117893"/>
      </right>
      <top/>
      <bottom style="thin">
        <color theme="2" tint="-0.249977111117893"/>
      </bottom>
      <diagonal/>
    </border>
    <border>
      <left style="thin">
        <color theme="2" tint="-0.249977111117893"/>
      </left>
      <right style="medium">
        <color indexed="64"/>
      </right>
      <top/>
      <bottom style="thin">
        <color theme="2" tint="-0.249977111117893"/>
      </bottom>
      <diagonal/>
    </border>
    <border>
      <left style="medium">
        <color indexed="64"/>
      </left>
      <right style="thin">
        <color theme="0" tint="-0.249977111117893"/>
      </right>
      <top style="thin">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thin">
        <color indexed="64"/>
      </bottom>
      <diagonal/>
    </border>
  </borders>
  <cellStyleXfs count="16">
    <xf numFmtId="0" fontId="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6" fillId="0" borderId="0"/>
    <xf numFmtId="165" fontId="6"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639">
    <xf numFmtId="0" fontId="0" fillId="0" borderId="0" xfId="0"/>
    <xf numFmtId="2" fontId="3" fillId="2" borderId="15" xfId="0" applyNumberFormat="1" applyFont="1" applyFill="1" applyBorder="1" applyAlignment="1">
      <alignment vertical="center"/>
    </xf>
    <xf numFmtId="2" fontId="3" fillId="2" borderId="15" xfId="0" applyNumberFormat="1" applyFont="1" applyFill="1" applyBorder="1" applyAlignment="1">
      <alignment horizontal="center" vertical="center"/>
    </xf>
    <xf numFmtId="2" fontId="3" fillId="2" borderId="0" xfId="0" applyNumberFormat="1" applyFont="1" applyFill="1" applyBorder="1" applyAlignment="1">
      <alignment vertical="center"/>
    </xf>
    <xf numFmtId="2" fontId="3" fillId="2" borderId="0" xfId="0" applyNumberFormat="1" applyFont="1" applyFill="1" applyBorder="1" applyAlignment="1">
      <alignment horizontal="center" vertical="center"/>
    </xf>
    <xf numFmtId="2" fontId="3" fillId="2" borderId="10" xfId="0" applyNumberFormat="1" applyFont="1" applyFill="1" applyBorder="1" applyAlignment="1">
      <alignment vertical="center"/>
    </xf>
    <xf numFmtId="2" fontId="3" fillId="2" borderId="10" xfId="0" applyNumberFormat="1" applyFont="1" applyFill="1" applyBorder="1" applyAlignment="1">
      <alignment horizontal="center" vertical="center"/>
    </xf>
    <xf numFmtId="2" fontId="3" fillId="2" borderId="16" xfId="0" applyNumberFormat="1" applyFont="1" applyFill="1" applyBorder="1" applyAlignment="1">
      <alignment horizontal="center" vertical="center"/>
    </xf>
    <xf numFmtId="2" fontId="3" fillId="2" borderId="7" xfId="0" applyNumberFormat="1" applyFont="1" applyFill="1" applyBorder="1" applyAlignment="1">
      <alignment horizontal="center" vertical="center"/>
    </xf>
    <xf numFmtId="2" fontId="3" fillId="2" borderId="9" xfId="0" applyNumberFormat="1" applyFont="1" applyFill="1" applyBorder="1" applyAlignment="1">
      <alignment horizontal="center" vertical="center"/>
    </xf>
    <xf numFmtId="2" fontId="3" fillId="0" borderId="15" xfId="0" applyNumberFormat="1" applyFont="1" applyBorder="1" applyAlignment="1">
      <alignment horizontal="center" vertical="center"/>
    </xf>
    <xf numFmtId="2" fontId="4" fillId="0" borderId="0" xfId="0" applyNumberFormat="1" applyFont="1" applyBorder="1" applyAlignment="1">
      <alignment horizontal="center" vertical="center"/>
    </xf>
    <xf numFmtId="2" fontId="4" fillId="0" borderId="10" xfId="0" applyNumberFormat="1" applyFont="1" applyBorder="1" applyAlignment="1">
      <alignment horizontal="center" vertical="center"/>
    </xf>
    <xf numFmtId="2" fontId="3" fillId="0" borderId="0" xfId="0" applyNumberFormat="1" applyFont="1" applyBorder="1" applyAlignment="1">
      <alignment horizontal="center" vertical="center"/>
    </xf>
    <xf numFmtId="2"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44" fontId="3" fillId="0" borderId="0" xfId="1" applyNumberFormat="1" applyFont="1" applyAlignment="1">
      <alignment horizontal="center" vertical="center"/>
    </xf>
    <xf numFmtId="2" fontId="3" fillId="0" borderId="0" xfId="1" applyNumberFormat="1" applyFont="1" applyAlignment="1">
      <alignment horizontal="center" vertical="center"/>
    </xf>
    <xf numFmtId="0" fontId="3" fillId="0" borderId="0" xfId="0" applyFont="1" applyFill="1" applyAlignment="1">
      <alignment vertical="center"/>
    </xf>
    <xf numFmtId="0" fontId="4" fillId="4" borderId="12" xfId="0" applyFont="1" applyFill="1" applyBorder="1" applyAlignment="1">
      <alignment horizontal="center" vertical="center"/>
    </xf>
    <xf numFmtId="0" fontId="3" fillId="0" borderId="0" xfId="0" applyFont="1" applyAlignment="1">
      <alignment vertical="center"/>
    </xf>
    <xf numFmtId="0" fontId="3" fillId="0" borderId="0" xfId="0" applyFont="1" applyFill="1" applyAlignment="1">
      <alignment horizontal="center" vertical="center"/>
    </xf>
    <xf numFmtId="0" fontId="4" fillId="0" borderId="0" xfId="0" applyFont="1" applyFill="1" applyAlignment="1">
      <alignment vertical="center"/>
    </xf>
    <xf numFmtId="2" fontId="3" fillId="2" borderId="0" xfId="0" applyNumberFormat="1" applyFont="1" applyFill="1" applyBorder="1" applyAlignment="1">
      <alignment vertical="center" wrapText="1"/>
    </xf>
    <xf numFmtId="49" fontId="8" fillId="0" borderId="0" xfId="5" applyNumberFormat="1" applyFont="1" applyBorder="1" applyAlignment="1">
      <alignment horizontal="center" vertical="center"/>
    </xf>
    <xf numFmtId="0" fontId="3" fillId="2" borderId="7" xfId="0" applyFont="1" applyFill="1" applyBorder="1" applyAlignment="1">
      <alignment horizontal="center" vertical="center" wrapText="1"/>
    </xf>
    <xf numFmtId="0" fontId="3" fillId="0" borderId="7"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NumberFormat="1" applyFont="1" applyAlignment="1">
      <alignment horizontal="center" vertical="center"/>
    </xf>
    <xf numFmtId="44" fontId="3" fillId="0" borderId="0" xfId="1" applyNumberFormat="1" applyFont="1" applyBorder="1" applyAlignment="1">
      <alignment horizontal="center" vertical="center"/>
    </xf>
    <xf numFmtId="2" fontId="8" fillId="0" borderId="0" xfId="5" applyNumberFormat="1" applyFont="1" applyBorder="1" applyAlignment="1">
      <alignment horizontal="center" vertical="center"/>
    </xf>
    <xf numFmtId="49" fontId="3" fillId="2" borderId="15"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wrapText="1"/>
    </xf>
    <xf numFmtId="49" fontId="3" fillId="0" borderId="0" xfId="0" applyNumberFormat="1" applyFont="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3" fillId="0" borderId="0" xfId="0" applyNumberFormat="1" applyFont="1" applyAlignment="1">
      <alignment horizontal="center" vertical="center" wrapText="1"/>
    </xf>
    <xf numFmtId="2" fontId="3" fillId="0" borderId="0" xfId="0" applyNumberFormat="1" applyFont="1" applyAlignment="1">
      <alignment horizontal="center" vertical="center"/>
    </xf>
    <xf numFmtId="0" fontId="3" fillId="0" borderId="0" xfId="0" applyFont="1" applyFill="1" applyAlignment="1">
      <alignment vertical="center"/>
    </xf>
    <xf numFmtId="44" fontId="4" fillId="0" borderId="0" xfId="1" applyNumberFormat="1" applyFont="1" applyBorder="1" applyAlignment="1">
      <alignment horizontal="left" vertical="center"/>
    </xf>
    <xf numFmtId="44" fontId="4" fillId="0" borderId="10" xfId="1" applyNumberFormat="1" applyFont="1" applyBorder="1" applyAlignment="1">
      <alignment horizontal="left" vertical="center"/>
    </xf>
    <xf numFmtId="44" fontId="3" fillId="0" borderId="0" xfId="1" applyNumberFormat="1" applyFont="1" applyBorder="1" applyAlignment="1">
      <alignment horizontal="left" vertical="center"/>
    </xf>
    <xf numFmtId="44" fontId="3" fillId="0" borderId="0" xfId="1" applyNumberFormat="1" applyFont="1" applyAlignment="1">
      <alignment horizontal="left" vertical="center"/>
    </xf>
    <xf numFmtId="44" fontId="3" fillId="0" borderId="15" xfId="1" applyNumberFormat="1" applyFont="1" applyBorder="1" applyAlignment="1">
      <alignment horizontal="left" vertical="center"/>
    </xf>
    <xf numFmtId="164" fontId="3" fillId="0" borderId="0" xfId="0" applyNumberFormat="1" applyFont="1" applyFill="1" applyAlignment="1">
      <alignment vertical="center"/>
    </xf>
    <xf numFmtId="10" fontId="4" fillId="0" borderId="0" xfId="13" applyNumberFormat="1" applyFont="1" applyFill="1" applyAlignment="1">
      <alignment vertical="center"/>
    </xf>
    <xf numFmtId="44" fontId="4" fillId="6" borderId="13" xfId="1" applyNumberFormat="1" applyFont="1" applyFill="1" applyBorder="1" applyAlignment="1">
      <alignment horizontal="center" vertical="center"/>
    </xf>
    <xf numFmtId="44" fontId="4" fillId="6" borderId="13" xfId="1" applyNumberFormat="1" applyFont="1" applyFill="1" applyBorder="1" applyAlignment="1">
      <alignment horizontal="center" vertical="center" wrapText="1"/>
    </xf>
    <xf numFmtId="44" fontId="4" fillId="6" borderId="13" xfId="0" applyNumberFormat="1" applyFont="1" applyFill="1" applyBorder="1" applyAlignment="1">
      <alignment vertical="center"/>
    </xf>
    <xf numFmtId="44" fontId="4" fillId="6" borderId="13" xfId="0" applyNumberFormat="1" applyFont="1" applyFill="1" applyBorder="1" applyAlignment="1">
      <alignment horizontal="center" vertical="center"/>
    </xf>
    <xf numFmtId="44" fontId="11" fillId="0" borderId="15" xfId="1" applyNumberFormat="1" applyFont="1" applyBorder="1" applyAlignment="1">
      <alignment horizontal="right" vertical="center"/>
    </xf>
    <xf numFmtId="44" fontId="11" fillId="0" borderId="17" xfId="1" applyNumberFormat="1" applyFont="1" applyBorder="1" applyAlignment="1">
      <alignment horizontal="center" vertical="center"/>
    </xf>
    <xf numFmtId="44" fontId="11" fillId="0" borderId="0" xfId="1" applyNumberFormat="1" applyFont="1" applyBorder="1" applyAlignment="1">
      <alignment horizontal="right" vertical="center"/>
    </xf>
    <xf numFmtId="44" fontId="11" fillId="0" borderId="8" xfId="1" applyNumberFormat="1" applyFont="1" applyBorder="1" applyAlignment="1">
      <alignment horizontal="center" vertical="center"/>
    </xf>
    <xf numFmtId="44" fontId="11" fillId="0" borderId="10" xfId="1" applyNumberFormat="1" applyFont="1" applyBorder="1" applyAlignment="1">
      <alignment horizontal="right" vertical="center"/>
    </xf>
    <xf numFmtId="44" fontId="11" fillId="0" borderId="11" xfId="1" applyNumberFormat="1" applyFont="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Fill="1" applyAlignment="1">
      <alignment vertical="center"/>
    </xf>
    <xf numFmtId="0" fontId="2" fillId="2" borderId="1" xfId="0" applyFont="1" applyFill="1" applyBorder="1" applyAlignment="1">
      <alignment vertical="center" wrapText="1"/>
    </xf>
    <xf numFmtId="2" fontId="2" fillId="2" borderId="1" xfId="0" applyNumberFormat="1" applyFont="1" applyFill="1" applyBorder="1" applyAlignment="1">
      <alignment vertical="center" wrapText="1"/>
    </xf>
    <xf numFmtId="0" fontId="11" fillId="6" borderId="3" xfId="0" applyFont="1" applyFill="1" applyBorder="1" applyAlignment="1">
      <alignment horizontal="center" vertical="center" wrapText="1"/>
    </xf>
    <xf numFmtId="2" fontId="11" fillId="6" borderId="1" xfId="0" applyNumberFormat="1" applyFont="1" applyFill="1" applyBorder="1" applyAlignment="1">
      <alignment horizontal="center" vertical="center"/>
    </xf>
    <xf numFmtId="0" fontId="11" fillId="4" borderId="1" xfId="0" applyFont="1" applyFill="1" applyBorder="1" applyAlignment="1">
      <alignment horizontal="left" vertical="center"/>
    </xf>
    <xf numFmtId="2" fontId="11"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4"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6" fontId="2" fillId="0" borderId="1" xfId="0" applyNumberFormat="1" applyFont="1" applyBorder="1" applyAlignment="1">
      <alignment horizontal="center" vertical="center" wrapText="1"/>
    </xf>
    <xf numFmtId="2" fontId="2" fillId="0" borderId="1" xfId="2" quotePrefix="1" applyNumberFormat="1" applyFont="1" applyFill="1" applyBorder="1" applyAlignment="1">
      <alignment horizontal="center" vertical="center"/>
    </xf>
    <xf numFmtId="166" fontId="2" fillId="0" borderId="1" xfId="2" quotePrefix="1" applyNumberFormat="1" applyFont="1" applyFill="1" applyBorder="1" applyAlignment="1">
      <alignment horizontal="center" vertical="center"/>
    </xf>
    <xf numFmtId="0" fontId="2" fillId="0" borderId="1" xfId="0" applyFont="1" applyBorder="1" applyAlignment="1">
      <alignment horizontal="left" vertical="center"/>
    </xf>
    <xf numFmtId="0" fontId="11" fillId="4" borderId="1" xfId="0" applyNumberFormat="1" applyFont="1" applyFill="1" applyBorder="1" applyAlignment="1">
      <alignment vertical="center" wrapText="1"/>
    </xf>
    <xf numFmtId="0" fontId="2" fillId="0" borderId="0" xfId="0" applyFont="1" applyBorder="1" applyAlignment="1">
      <alignment horizontal="center" vertical="center"/>
    </xf>
    <xf numFmtId="44" fontId="4" fillId="6" borderId="23" xfId="1" applyNumberFormat="1" applyFont="1" applyFill="1" applyBorder="1" applyAlignment="1">
      <alignment horizontal="center" vertical="center"/>
    </xf>
    <xf numFmtId="0" fontId="11" fillId="6" borderId="33" xfId="0" applyNumberFormat="1" applyFont="1" applyFill="1" applyBorder="1" applyAlignment="1">
      <alignment horizontal="center" vertical="center"/>
    </xf>
    <xf numFmtId="0" fontId="11" fillId="6" borderId="33" xfId="0" applyFont="1" applyFill="1" applyBorder="1" applyAlignment="1">
      <alignment horizontal="center" vertical="center"/>
    </xf>
    <xf numFmtId="0" fontId="11" fillId="6" borderId="33" xfId="0" applyFont="1" applyFill="1" applyBorder="1" applyAlignment="1">
      <alignment horizontal="center" vertical="center" wrapText="1"/>
    </xf>
    <xf numFmtId="2" fontId="11" fillId="6" borderId="33" xfId="0" applyNumberFormat="1" applyFont="1" applyFill="1" applyBorder="1" applyAlignment="1">
      <alignment horizontal="center" vertical="center"/>
    </xf>
    <xf numFmtId="44" fontId="11" fillId="6" borderId="34" xfId="1" applyNumberFormat="1" applyFont="1" applyFill="1" applyBorder="1" applyAlignment="1">
      <alignment horizontal="center" vertical="center"/>
    </xf>
    <xf numFmtId="44" fontId="11" fillId="6" borderId="35" xfId="1" applyNumberFormat="1" applyFont="1" applyFill="1" applyBorder="1" applyAlignment="1">
      <alignment horizontal="center" vertical="center"/>
    </xf>
    <xf numFmtId="44" fontId="11" fillId="6" borderId="33" xfId="1" applyNumberFormat="1" applyFont="1" applyFill="1" applyBorder="1" applyAlignment="1">
      <alignment horizontal="center" vertical="center"/>
    </xf>
    <xf numFmtId="44" fontId="11" fillId="6" borderId="23" xfId="1" applyNumberFormat="1" applyFont="1" applyFill="1" applyBorder="1" applyAlignment="1">
      <alignment horizontal="center" vertical="center"/>
    </xf>
    <xf numFmtId="0" fontId="3" fillId="0" borderId="36" xfId="0" applyFont="1" applyBorder="1" applyAlignment="1">
      <alignment horizontal="center" vertical="center"/>
    </xf>
    <xf numFmtId="2" fontId="3" fillId="0" borderId="36" xfId="0" applyNumberFormat="1" applyFont="1" applyBorder="1" applyAlignment="1">
      <alignment horizontal="center" vertical="center"/>
    </xf>
    <xf numFmtId="44" fontId="7" fillId="0" borderId="36" xfId="1" applyNumberFormat="1" applyFont="1" applyBorder="1" applyAlignment="1">
      <alignment horizontal="left" vertical="center"/>
    </xf>
    <xf numFmtId="0" fontId="8" fillId="0" borderId="36" xfId="0" applyFont="1" applyBorder="1" applyAlignment="1">
      <alignment horizontal="left" vertical="center" wrapText="1"/>
    </xf>
    <xf numFmtId="44" fontId="7" fillId="0" borderId="37" xfId="1" applyNumberFormat="1" applyFont="1" applyBorder="1" applyAlignment="1">
      <alignment horizontal="left" vertical="center"/>
    </xf>
    <xf numFmtId="2" fontId="8" fillId="0" borderId="36" xfId="0" applyNumberFormat="1" applyFont="1" applyBorder="1" applyAlignment="1">
      <alignment horizontal="center" vertical="center"/>
    </xf>
    <xf numFmtId="0" fontId="3" fillId="0" borderId="36" xfId="0" applyFont="1" applyFill="1" applyBorder="1" applyAlignment="1">
      <alignment horizontal="center" vertical="center"/>
    </xf>
    <xf numFmtId="2" fontId="3" fillId="0" borderId="36" xfId="0" applyNumberFormat="1" applyFont="1" applyFill="1" applyBorder="1" applyAlignment="1">
      <alignment horizontal="center" vertical="center"/>
    </xf>
    <xf numFmtId="44" fontId="7" fillId="0" borderId="36" xfId="1" applyNumberFormat="1" applyFont="1" applyBorder="1" applyAlignment="1">
      <alignment horizontal="left" vertical="center" wrapText="1"/>
    </xf>
    <xf numFmtId="44" fontId="7" fillId="0" borderId="36" xfId="1" applyFont="1" applyBorder="1" applyAlignment="1">
      <alignment horizontal="left" vertical="center" wrapText="1"/>
    </xf>
    <xf numFmtId="44" fontId="3" fillId="0" borderId="36" xfId="1" applyFont="1" applyBorder="1" applyAlignment="1">
      <alignment horizontal="left" vertical="center"/>
    </xf>
    <xf numFmtId="0" fontId="3" fillId="0" borderId="36" xfId="0" applyFont="1" applyBorder="1" applyAlignment="1">
      <alignment horizontal="center" vertical="center" wrapText="1"/>
    </xf>
    <xf numFmtId="2" fontId="3" fillId="0" borderId="36" xfId="0" applyNumberFormat="1" applyFont="1" applyBorder="1" applyAlignment="1">
      <alignment horizontal="center" vertical="center" wrapText="1"/>
    </xf>
    <xf numFmtId="0" fontId="8" fillId="0" borderId="36" xfId="0" applyFont="1" applyBorder="1" applyAlignment="1">
      <alignment horizontal="center" vertical="center" wrapText="1"/>
    </xf>
    <xf numFmtId="2" fontId="7" fillId="0" borderId="36" xfId="0" applyNumberFormat="1" applyFont="1" applyBorder="1" applyAlignment="1">
      <alignment horizontal="center" vertical="center" wrapText="1"/>
    </xf>
    <xf numFmtId="0" fontId="3" fillId="2" borderId="36" xfId="0" applyNumberFormat="1" applyFont="1" applyFill="1" applyBorder="1" applyAlignment="1">
      <alignment horizontal="center" vertical="center"/>
    </xf>
    <xf numFmtId="44" fontId="7" fillId="0" borderId="36" xfId="1" applyFont="1" applyFill="1" applyBorder="1" applyAlignment="1">
      <alignment horizontal="left" vertical="center" wrapText="1"/>
    </xf>
    <xf numFmtId="44" fontId="4" fillId="5" borderId="14" xfId="0" applyNumberFormat="1" applyFont="1" applyFill="1" applyBorder="1" applyAlignment="1">
      <alignment vertical="center"/>
    </xf>
    <xf numFmtId="44" fontId="3" fillId="0" borderId="36" xfId="1" applyNumberFormat="1" applyFont="1" applyFill="1" applyBorder="1" applyAlignment="1">
      <alignment horizontal="left" vertical="center"/>
    </xf>
    <xf numFmtId="2" fontId="3" fillId="2" borderId="36" xfId="0" applyNumberFormat="1" applyFont="1" applyFill="1" applyBorder="1" applyAlignment="1">
      <alignment horizontal="center" vertical="center"/>
    </xf>
    <xf numFmtId="44" fontId="3" fillId="2" borderId="36" xfId="0" applyNumberFormat="1" applyFont="1" applyFill="1" applyBorder="1" applyAlignment="1">
      <alignment horizontal="left" vertical="center"/>
    </xf>
    <xf numFmtId="44" fontId="3" fillId="0" borderId="36" xfId="0" applyNumberFormat="1" applyFont="1" applyFill="1" applyBorder="1" applyAlignment="1">
      <alignment horizontal="left" vertical="center"/>
    </xf>
    <xf numFmtId="44" fontId="3" fillId="0" borderId="36" xfId="1" applyFont="1" applyFill="1" applyBorder="1" applyAlignment="1">
      <alignment horizontal="left" vertical="center"/>
    </xf>
    <xf numFmtId="44" fontId="3" fillId="0" borderId="36" xfId="1" applyNumberFormat="1" applyFont="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38" xfId="0" applyNumberFormat="1" applyFont="1" applyBorder="1" applyAlignment="1">
      <alignment horizontal="center" vertical="center"/>
    </xf>
    <xf numFmtId="44" fontId="3" fillId="0" borderId="39" xfId="1" applyFont="1" applyFill="1" applyBorder="1" applyAlignment="1">
      <alignment horizontal="center" vertical="center"/>
    </xf>
    <xf numFmtId="0" fontId="3" fillId="0" borderId="38" xfId="0" applyFont="1" applyFill="1" applyBorder="1" applyAlignment="1">
      <alignment horizontal="center" vertical="center"/>
    </xf>
    <xf numFmtId="44" fontId="7" fillId="0" borderId="39" xfId="1" applyFont="1" applyBorder="1" applyAlignment="1">
      <alignment horizontal="right" vertical="center" wrapText="1"/>
    </xf>
    <xf numFmtId="0" fontId="3" fillId="0" borderId="38" xfId="0" applyFont="1" applyBorder="1" applyAlignment="1">
      <alignment horizontal="center" vertical="center"/>
    </xf>
    <xf numFmtId="44" fontId="3" fillId="0" borderId="39" xfId="1" applyNumberFormat="1" applyFont="1" applyFill="1" applyBorder="1" applyAlignment="1">
      <alignment horizontal="center" vertical="center"/>
    </xf>
    <xf numFmtId="44" fontId="3" fillId="0" borderId="39" xfId="1" applyNumberFormat="1" applyFont="1" applyFill="1" applyBorder="1" applyAlignment="1">
      <alignment horizontal="center" vertical="center" wrapText="1"/>
    </xf>
    <xf numFmtId="0" fontId="3" fillId="2" borderId="38" xfId="0" applyNumberFormat="1" applyFont="1" applyFill="1" applyBorder="1" applyAlignment="1">
      <alignment horizontal="center" vertical="center"/>
    </xf>
    <xf numFmtId="44" fontId="3" fillId="2" borderId="39" xfId="0" applyNumberFormat="1" applyFont="1" applyFill="1" applyBorder="1" applyAlignment="1">
      <alignment horizontal="center" vertical="center"/>
    </xf>
    <xf numFmtId="44" fontId="3" fillId="0" borderId="39" xfId="0" applyNumberFormat="1" applyFont="1" applyFill="1" applyBorder="1" applyAlignment="1">
      <alignment horizontal="center" vertical="center"/>
    </xf>
    <xf numFmtId="44" fontId="3" fillId="0" borderId="39" xfId="0" applyNumberFormat="1" applyFont="1" applyFill="1" applyBorder="1" applyAlignment="1">
      <alignment horizontal="left" vertical="center"/>
    </xf>
    <xf numFmtId="44" fontId="3" fillId="0" borderId="39" xfId="0" applyNumberFormat="1" applyFont="1" applyFill="1" applyBorder="1" applyAlignment="1">
      <alignment vertical="center"/>
    </xf>
    <xf numFmtId="0" fontId="2" fillId="2" borderId="0" xfId="0" applyFont="1" applyFill="1" applyAlignment="1">
      <alignment vertical="center"/>
    </xf>
    <xf numFmtId="44" fontId="3" fillId="0" borderId="37" xfId="1" applyNumberFormat="1" applyFont="1" applyBorder="1" applyAlignment="1">
      <alignment horizontal="left" vertical="center"/>
    </xf>
    <xf numFmtId="44" fontId="3" fillId="0" borderId="43" xfId="1" applyNumberFormat="1" applyFont="1" applyBorder="1" applyAlignment="1">
      <alignment horizontal="left" vertical="center"/>
    </xf>
    <xf numFmtId="44" fontId="3" fillId="0" borderId="42" xfId="1" applyNumberFormat="1" applyFont="1" applyFill="1" applyBorder="1" applyAlignment="1">
      <alignment horizontal="center" vertical="center" wrapText="1"/>
    </xf>
    <xf numFmtId="0" fontId="3" fillId="0" borderId="40" xfId="0" applyFont="1" applyFill="1" applyBorder="1" applyAlignment="1">
      <alignment vertical="center"/>
    </xf>
    <xf numFmtId="0" fontId="3" fillId="0" borderId="36" xfId="0" applyFont="1" applyFill="1" applyBorder="1" applyAlignment="1">
      <alignment vertical="center"/>
    </xf>
    <xf numFmtId="2" fontId="11" fillId="4" borderId="1" xfId="0" applyNumberFormat="1" applyFont="1" applyFill="1" applyBorder="1" applyAlignment="1">
      <alignment vertical="center"/>
    </xf>
    <xf numFmtId="0" fontId="11" fillId="4" borderId="1" xfId="0" applyNumberFormat="1" applyFont="1" applyFill="1" applyBorder="1" applyAlignment="1">
      <alignment vertical="center"/>
    </xf>
    <xf numFmtId="0" fontId="3" fillId="0" borderId="7"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wrapText="1"/>
    </xf>
    <xf numFmtId="2" fontId="3" fillId="0" borderId="0" xfId="0" applyNumberFormat="1" applyFont="1" applyFill="1" applyBorder="1" applyAlignment="1">
      <alignment horizontal="center" vertical="center"/>
    </xf>
    <xf numFmtId="44" fontId="3" fillId="0" borderId="0" xfId="0" applyNumberFormat="1" applyFont="1" applyFill="1" applyBorder="1" applyAlignment="1">
      <alignment horizontal="left" vertical="center"/>
    </xf>
    <xf numFmtId="44" fontId="3" fillId="0" borderId="8" xfId="0" applyNumberFormat="1" applyFont="1" applyFill="1" applyBorder="1" applyAlignment="1">
      <alignment horizontal="left" vertical="center"/>
    </xf>
    <xf numFmtId="2" fontId="3" fillId="0" borderId="0" xfId="1" applyNumberFormat="1" applyFont="1" applyBorder="1" applyAlignment="1">
      <alignment horizontal="center" vertical="center"/>
    </xf>
    <xf numFmtId="0" fontId="14" fillId="4" borderId="1" xfId="0" applyFont="1" applyFill="1" applyBorder="1" applyAlignment="1">
      <alignment horizontal="left" vertical="center"/>
    </xf>
    <xf numFmtId="0" fontId="11" fillId="4" borderId="1" xfId="0" applyNumberFormat="1" applyFont="1" applyFill="1" applyBorder="1" applyAlignment="1">
      <alignment horizontal="left" vertical="center"/>
    </xf>
    <xf numFmtId="0" fontId="13" fillId="0" borderId="1" xfId="0" applyFont="1" applyBorder="1" applyAlignment="1">
      <alignment vertical="center" wrapText="1"/>
    </xf>
    <xf numFmtId="0" fontId="2" fillId="0" borderId="1" xfId="0" applyFont="1" applyBorder="1" applyAlignment="1">
      <alignment vertical="center" wrapText="1"/>
    </xf>
    <xf numFmtId="0" fontId="13" fillId="0" borderId="1" xfId="0"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xf>
    <xf numFmtId="2" fontId="11" fillId="3"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1" fillId="4" borderId="1"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xf>
    <xf numFmtId="0" fontId="2" fillId="0" borderId="1" xfId="0" applyFont="1" applyBorder="1"/>
    <xf numFmtId="0" fontId="13"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2" fontId="1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vertical="center"/>
    </xf>
    <xf numFmtId="0" fontId="3" fillId="2" borderId="7"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8" fillId="0" borderId="0" xfId="0" applyFont="1" applyBorder="1" applyAlignment="1">
      <alignment horizontal="left" vertical="center" wrapText="1"/>
    </xf>
    <xf numFmtId="44" fontId="3" fillId="2" borderId="0" xfId="0" applyNumberFormat="1" applyFont="1" applyFill="1" applyBorder="1" applyAlignment="1">
      <alignment horizontal="left" vertical="center"/>
    </xf>
    <xf numFmtId="44" fontId="3" fillId="2" borderId="8" xfId="0" applyNumberFormat="1" applyFont="1" applyFill="1" applyBorder="1" applyAlignment="1">
      <alignment horizontal="center" vertical="center"/>
    </xf>
    <xf numFmtId="0" fontId="7" fillId="0" borderId="36" xfId="0" quotePrefix="1" applyNumberFormat="1" applyFont="1" applyBorder="1" applyAlignment="1">
      <alignment horizontal="center" vertical="center"/>
    </xf>
    <xf numFmtId="0" fontId="9" fillId="4" borderId="2"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7" borderId="2" xfId="0" applyNumberFormat="1" applyFont="1" applyFill="1" applyBorder="1" applyAlignment="1">
      <alignment horizontal="center" vertical="center"/>
    </xf>
    <xf numFmtId="0" fontId="11" fillId="6" borderId="2" xfId="0" applyFont="1" applyFill="1" applyBorder="1" applyAlignment="1">
      <alignment horizontal="center" vertical="center"/>
    </xf>
    <xf numFmtId="0" fontId="7" fillId="0" borderId="36" xfId="0" quotePrefix="1" applyNumberFormat="1" applyFont="1" applyBorder="1" applyAlignment="1">
      <alignment horizontal="left" vertical="center"/>
    </xf>
    <xf numFmtId="0" fontId="7" fillId="0" borderId="36" xfId="0" quotePrefix="1" applyNumberFormat="1" applyFont="1" applyBorder="1" applyAlignment="1">
      <alignment horizontal="left" vertical="center" wrapText="1"/>
    </xf>
    <xf numFmtId="0" fontId="3" fillId="0" borderId="36" xfId="0" applyNumberFormat="1" applyFont="1" applyBorder="1" applyAlignment="1">
      <alignment horizontal="center" vertical="center"/>
    </xf>
    <xf numFmtId="0" fontId="7" fillId="0" borderId="36" xfId="0" quotePrefix="1" applyNumberFormat="1" applyFont="1" applyBorder="1" applyAlignment="1">
      <alignment horizontal="center" vertical="center" wrapText="1"/>
    </xf>
    <xf numFmtId="166" fontId="8" fillId="0" borderId="36" xfId="0" applyNumberFormat="1" applyFont="1" applyBorder="1" applyAlignment="1">
      <alignment horizontal="center" vertical="center"/>
    </xf>
    <xf numFmtId="44" fontId="3" fillId="0" borderId="20" xfId="0" applyNumberFormat="1" applyFont="1" applyFill="1" applyBorder="1" applyAlignment="1">
      <alignment horizontal="center" vertical="center"/>
    </xf>
    <xf numFmtId="0" fontId="3" fillId="0" borderId="36" xfId="0" applyFont="1" applyBorder="1" applyAlignment="1">
      <alignment horizontal="left" vertical="center"/>
    </xf>
    <xf numFmtId="0" fontId="3" fillId="0" borderId="36" xfId="0" quotePrefix="1" applyNumberFormat="1" applyFont="1" applyFill="1" applyBorder="1" applyAlignment="1">
      <alignment horizontal="center" vertical="center"/>
    </xf>
    <xf numFmtId="0" fontId="3" fillId="0" borderId="38" xfId="0" applyNumberFormat="1" applyFont="1" applyFill="1" applyBorder="1" applyAlignment="1">
      <alignment horizontal="center" vertical="center" wrapText="1"/>
    </xf>
    <xf numFmtId="2" fontId="3" fillId="0" borderId="36" xfId="0" applyNumberFormat="1" applyFont="1" applyFill="1" applyBorder="1" applyAlignment="1">
      <alignment horizontal="center" vertical="center" wrapText="1"/>
    </xf>
    <xf numFmtId="44" fontId="7" fillId="0" borderId="36" xfId="1" applyFont="1" applyFill="1" applyBorder="1" applyAlignment="1">
      <alignment horizontal="left" vertical="center"/>
    </xf>
    <xf numFmtId="0" fontId="3" fillId="0" borderId="36" xfId="0" quotePrefix="1" applyNumberFormat="1" applyFont="1" applyFill="1" applyBorder="1" applyAlignment="1">
      <alignment horizontal="center" vertical="center" wrapText="1"/>
    </xf>
    <xf numFmtId="44" fontId="3" fillId="0" borderId="36" xfId="1" applyNumberFormat="1" applyFont="1" applyBorder="1" applyAlignment="1">
      <alignment horizontal="left" vertical="center" wrapText="1"/>
    </xf>
    <xf numFmtId="0" fontId="3" fillId="0" borderId="0" xfId="0" applyFont="1" applyFill="1" applyAlignment="1">
      <alignment vertical="center" wrapText="1"/>
    </xf>
    <xf numFmtId="0" fontId="3" fillId="0" borderId="41" xfId="0" applyFont="1" applyBorder="1" applyAlignment="1">
      <alignment horizontal="center" vertical="center" wrapText="1"/>
    </xf>
    <xf numFmtId="0" fontId="8" fillId="0" borderId="46" xfId="0" applyFont="1" applyBorder="1" applyAlignment="1">
      <alignment horizontal="left" vertical="center" wrapText="1"/>
    </xf>
    <xf numFmtId="0" fontId="3" fillId="0" borderId="36" xfId="0" applyNumberFormat="1" applyFont="1" applyFill="1" applyBorder="1" applyAlignment="1">
      <alignment horizontal="center" vertical="center" wrapText="1"/>
    </xf>
    <xf numFmtId="44" fontId="3" fillId="0" borderId="36" xfId="1" applyFont="1" applyFill="1" applyBorder="1" applyAlignment="1">
      <alignment horizontal="left" vertical="center" wrapText="1"/>
    </xf>
    <xf numFmtId="44" fontId="3" fillId="0" borderId="20" xfId="1" applyFont="1" applyFill="1" applyBorder="1" applyAlignment="1">
      <alignment vertical="center"/>
    </xf>
    <xf numFmtId="44" fontId="3" fillId="0" borderId="18" xfId="1" applyFont="1" applyFill="1" applyBorder="1" applyAlignment="1">
      <alignment vertical="center"/>
    </xf>
    <xf numFmtId="0" fontId="2" fillId="0" borderId="15" xfId="0" applyNumberFormat="1" applyFont="1" applyBorder="1" applyAlignment="1">
      <alignment vertical="center"/>
    </xf>
    <xf numFmtId="2" fontId="11" fillId="3" borderId="1" xfId="2" applyNumberFormat="1" applyFont="1" applyFill="1" applyBorder="1" applyAlignment="1">
      <alignment horizontal="center" vertical="center"/>
    </xf>
    <xf numFmtId="0" fontId="3" fillId="0" borderId="7" xfId="0" applyNumberFormat="1"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NumberFormat="1" applyFont="1" applyFill="1" applyBorder="1" applyAlignment="1">
      <alignment vertical="center"/>
    </xf>
    <xf numFmtId="44" fontId="3" fillId="0" borderId="0" xfId="1" applyFont="1" applyFill="1" applyBorder="1" applyAlignment="1">
      <alignment horizontal="left" vertical="center"/>
    </xf>
    <xf numFmtId="44" fontId="3" fillId="0" borderId="8" xfId="1" applyNumberFormat="1" applyFont="1" applyFill="1" applyBorder="1" applyAlignment="1">
      <alignment horizontal="center" vertical="center"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6"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44" fontId="3" fillId="0" borderId="46" xfId="1" applyFont="1" applyFill="1" applyBorder="1" applyAlignment="1">
      <alignment horizontal="left" vertical="center"/>
    </xf>
    <xf numFmtId="0" fontId="3" fillId="0" borderId="7" xfId="0" applyFont="1" applyBorder="1" applyAlignment="1">
      <alignment horizontal="center" vertical="center"/>
    </xf>
    <xf numFmtId="49" fontId="7" fillId="0" borderId="20" xfId="0" quotePrefix="1" applyNumberFormat="1" applyFont="1" applyBorder="1" applyAlignment="1">
      <alignment horizontal="center" vertical="center" wrapText="1"/>
    </xf>
    <xf numFmtId="2" fontId="7" fillId="0" borderId="0" xfId="0" applyNumberFormat="1" applyFont="1" applyBorder="1" applyAlignment="1">
      <alignment horizontal="center" vertical="center" wrapText="1"/>
    </xf>
    <xf numFmtId="44" fontId="7" fillId="0" borderId="0" xfId="1" applyFont="1" applyBorder="1" applyAlignment="1">
      <alignment horizontal="left" vertical="center" wrapText="1"/>
    </xf>
    <xf numFmtId="44" fontId="7" fillId="0" borderId="8" xfId="1" applyFont="1" applyBorder="1" applyAlignment="1">
      <alignment horizontal="right" vertical="center" wrapText="1"/>
    </xf>
    <xf numFmtId="0" fontId="7" fillId="0" borderId="0" xfId="0" quotePrefix="1" applyNumberFormat="1" applyFont="1" applyBorder="1" applyAlignment="1">
      <alignment horizontal="center" vertical="center" wrapText="1"/>
    </xf>
    <xf numFmtId="2" fontId="8" fillId="0" borderId="0" xfId="0" applyNumberFormat="1" applyFont="1" applyBorder="1" applyAlignment="1">
      <alignment horizontal="center" vertical="center"/>
    </xf>
    <xf numFmtId="44" fontId="3" fillId="0" borderId="18" xfId="0" applyNumberFormat="1" applyFont="1" applyFill="1" applyBorder="1" applyAlignment="1">
      <alignment horizontal="center" vertical="center"/>
    </xf>
    <xf numFmtId="0" fontId="3" fillId="0" borderId="0" xfId="0" quotePrefix="1"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3" fillId="0" borderId="7"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quotePrefix="1" applyNumberFormat="1" applyFont="1" applyFill="1" applyBorder="1" applyAlignment="1">
      <alignment horizontal="center" vertical="center" wrapText="1"/>
    </xf>
    <xf numFmtId="2" fontId="3" fillId="0" borderId="0" xfId="0" applyNumberFormat="1" applyFont="1" applyBorder="1" applyAlignment="1">
      <alignment horizontal="center" vertical="center" wrapText="1"/>
    </xf>
    <xf numFmtId="44" fontId="3" fillId="0" borderId="0" xfId="1" applyNumberFormat="1" applyFont="1" applyBorder="1" applyAlignment="1">
      <alignment horizontal="left" vertical="center" wrapText="1"/>
    </xf>
    <xf numFmtId="0" fontId="11" fillId="2" borderId="2" xfId="0" applyNumberFormat="1" applyFont="1" applyFill="1" applyBorder="1" applyAlignment="1">
      <alignment horizontal="center" vertical="center"/>
    </xf>
    <xf numFmtId="0" fontId="3" fillId="0" borderId="0" xfId="0" applyFont="1" applyBorder="1" applyAlignment="1">
      <alignment horizontal="left" vertical="center"/>
    </xf>
    <xf numFmtId="44" fontId="3" fillId="0" borderId="0" xfId="1" applyFont="1" applyBorder="1" applyAlignment="1">
      <alignment horizontal="left" vertical="center"/>
    </xf>
    <xf numFmtId="0" fontId="2" fillId="0" borderId="20" xfId="0" applyNumberFormat="1" applyFont="1" applyBorder="1" applyAlignment="1">
      <alignment horizontal="center" vertical="center"/>
    </xf>
    <xf numFmtId="0" fontId="11" fillId="6" borderId="2" xfId="0" applyNumberFormat="1" applyFont="1" applyFill="1" applyBorder="1" applyAlignment="1">
      <alignment horizontal="center" vertical="center"/>
    </xf>
    <xf numFmtId="0" fontId="11" fillId="0" borderId="0" xfId="0" applyFont="1" applyBorder="1" applyAlignment="1">
      <alignment horizontal="center" vertical="center"/>
    </xf>
    <xf numFmtId="2" fontId="2" fillId="2" borderId="1" xfId="0" applyNumberFormat="1" applyFont="1" applyFill="1" applyBorder="1" applyAlignment="1">
      <alignment horizontal="center" vertical="center"/>
    </xf>
    <xf numFmtId="0" fontId="3" fillId="0" borderId="0" xfId="0" applyFont="1" applyBorder="1" applyAlignment="1">
      <alignment horizontal="center" vertical="center"/>
    </xf>
    <xf numFmtId="0" fontId="3" fillId="0" borderId="38" xfId="0" applyNumberFormat="1" applyFont="1" applyFill="1" applyBorder="1" applyAlignment="1">
      <alignment horizontal="center" vertical="center"/>
    </xf>
    <xf numFmtId="0" fontId="3" fillId="0" borderId="36" xfId="0" applyNumberFormat="1" applyFont="1" applyFill="1" applyBorder="1" applyAlignment="1">
      <alignment horizontal="center" vertical="center"/>
    </xf>
    <xf numFmtId="0" fontId="4" fillId="0" borderId="0" xfId="0" applyFont="1" applyBorder="1" applyAlignment="1">
      <alignment horizontal="center" vertical="center"/>
    </xf>
    <xf numFmtId="0" fontId="2" fillId="0" borderId="19" xfId="0" applyFont="1" applyFill="1" applyBorder="1" applyAlignment="1">
      <alignment horizontal="left" vertical="center" wrapText="1"/>
    </xf>
    <xf numFmtId="44" fontId="7" fillId="0" borderId="21" xfId="1" applyFont="1" applyBorder="1" applyAlignment="1">
      <alignment horizontal="center" vertical="center" wrapText="1"/>
    </xf>
    <xf numFmtId="44" fontId="7" fillId="0" borderId="20" xfId="1" applyFont="1" applyBorder="1" applyAlignment="1">
      <alignment horizontal="center" vertical="center" wrapText="1"/>
    </xf>
    <xf numFmtId="44" fontId="7" fillId="0" borderId="18" xfId="1" applyFont="1" applyBorder="1" applyAlignment="1">
      <alignment horizontal="center" vertical="center" wrapText="1"/>
    </xf>
    <xf numFmtId="0" fontId="11" fillId="0" borderId="0" xfId="0" applyFont="1" applyBorder="1" applyAlignment="1">
      <alignment horizontal="center" vertical="center"/>
    </xf>
    <xf numFmtId="0" fontId="8" fillId="0" borderId="41" xfId="0" applyFont="1" applyBorder="1" applyAlignment="1">
      <alignment horizontal="center" vertical="center" wrapText="1"/>
    </xf>
    <xf numFmtId="0" fontId="3" fillId="0" borderId="0" xfId="0" applyFont="1" applyBorder="1" applyAlignment="1">
      <alignment horizontal="center" vertical="center"/>
    </xf>
    <xf numFmtId="0" fontId="7" fillId="0" borderId="0" xfId="0" quotePrefix="1" applyNumberFormat="1" applyFont="1" applyBorder="1" applyAlignment="1">
      <alignment horizontal="center" vertical="center"/>
    </xf>
    <xf numFmtId="0" fontId="7" fillId="0" borderId="0" xfId="0" quotePrefix="1" applyNumberFormat="1" applyFont="1" applyBorder="1" applyAlignment="1">
      <alignment horizontal="left" vertical="center"/>
    </xf>
    <xf numFmtId="44" fontId="7" fillId="0" borderId="0" xfId="1" applyNumberFormat="1" applyFont="1" applyBorder="1" applyAlignment="1">
      <alignment horizontal="left" vertical="center"/>
    </xf>
    <xf numFmtId="44" fontId="3" fillId="0" borderId="8" xfId="1" applyFont="1" applyFill="1" applyBorder="1" applyAlignment="1">
      <alignment horizontal="center" vertical="center"/>
    </xf>
    <xf numFmtId="0" fontId="11" fillId="0" borderId="0" xfId="0" applyFont="1" applyBorder="1" applyAlignment="1">
      <alignment vertical="center"/>
    </xf>
    <xf numFmtId="0" fontId="2" fillId="0" borderId="0" xfId="0" applyFont="1" applyFill="1" applyBorder="1" applyAlignment="1">
      <alignment horizontal="center" vertical="center"/>
    </xf>
    <xf numFmtId="0" fontId="15" fillId="0" borderId="0" xfId="0" applyFont="1" applyAlignment="1">
      <alignment vertical="center" wrapText="1"/>
    </xf>
    <xf numFmtId="2" fontId="15" fillId="0" borderId="0" xfId="1" applyNumberFormat="1" applyFont="1" applyBorder="1" applyAlignment="1">
      <alignment horizontal="center" vertical="center"/>
    </xf>
    <xf numFmtId="0" fontId="15" fillId="0" borderId="0" xfId="0" applyFont="1" applyBorder="1" applyAlignment="1">
      <alignment vertical="center" wrapText="1"/>
    </xf>
    <xf numFmtId="2" fontId="15" fillId="2" borderId="0" xfId="0" applyNumberFormat="1" applyFont="1" applyFill="1" applyBorder="1" applyAlignment="1">
      <alignment vertical="center" wrapText="1"/>
    </xf>
    <xf numFmtId="2" fontId="3" fillId="2" borderId="4" xfId="0" applyNumberFormat="1" applyFont="1" applyFill="1" applyBorder="1" applyAlignment="1">
      <alignment horizontal="center" vertical="center"/>
    </xf>
    <xf numFmtId="2" fontId="3" fillId="2" borderId="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2" fontId="3" fillId="2" borderId="5" xfId="0" applyNumberFormat="1" applyFont="1" applyFill="1" applyBorder="1" applyAlignment="1">
      <alignment vertical="center"/>
    </xf>
    <xf numFmtId="2" fontId="4" fillId="0" borderId="5" xfId="0" applyNumberFormat="1" applyFont="1" applyBorder="1" applyAlignment="1">
      <alignment horizontal="center" vertical="center"/>
    </xf>
    <xf numFmtId="44" fontId="3" fillId="2" borderId="5" xfId="1" applyNumberFormat="1" applyFont="1" applyFill="1" applyBorder="1" applyAlignment="1">
      <alignment horizontal="left" vertical="center"/>
    </xf>
    <xf numFmtId="44" fontId="3" fillId="2" borderId="6" xfId="0" applyNumberFormat="1" applyFont="1" applyFill="1" applyBorder="1" applyAlignment="1">
      <alignment vertical="center"/>
    </xf>
    <xf numFmtId="0" fontId="3" fillId="2" borderId="9" xfId="0" applyFont="1" applyFill="1" applyBorder="1" applyAlignment="1">
      <alignment horizontal="center" vertical="center" wrapText="1"/>
    </xf>
    <xf numFmtId="49" fontId="8" fillId="0" borderId="10" xfId="5" applyNumberFormat="1" applyFont="1" applyBorder="1" applyAlignment="1">
      <alignment horizontal="center" vertical="center"/>
    </xf>
    <xf numFmtId="49" fontId="3" fillId="0" borderId="10" xfId="0" applyNumberFormat="1" applyFont="1" applyBorder="1" applyAlignment="1">
      <alignment horizontal="center" vertical="center"/>
    </xf>
    <xf numFmtId="2" fontId="8" fillId="0" borderId="10" xfId="5" applyNumberFormat="1" applyFont="1" applyBorder="1" applyAlignment="1">
      <alignment horizontal="center" vertical="center"/>
    </xf>
    <xf numFmtId="2" fontId="16" fillId="0" borderId="0" xfId="5" applyNumberFormat="1" applyFont="1" applyBorder="1" applyAlignment="1">
      <alignment horizontal="center" vertical="center"/>
    </xf>
    <xf numFmtId="2" fontId="15" fillId="0" borderId="0" xfId="0" applyNumberFormat="1" applyFont="1" applyBorder="1" applyAlignment="1">
      <alignment horizontal="center" vertical="center"/>
    </xf>
    <xf numFmtId="0" fontId="2" fillId="0" borderId="1" xfId="0" applyFont="1" applyFill="1" applyBorder="1" applyAlignment="1">
      <alignment horizontal="center" vertical="center"/>
    </xf>
    <xf numFmtId="10" fontId="3" fillId="0" borderId="0" xfId="0" applyNumberFormat="1" applyFont="1" applyBorder="1" applyAlignment="1">
      <alignment horizontal="center" vertical="center"/>
    </xf>
    <xf numFmtId="2" fontId="11" fillId="3" borderId="1" xfId="1" applyNumberFormat="1" applyFont="1" applyFill="1" applyBorder="1" applyAlignment="1">
      <alignment horizontal="center" vertical="center"/>
    </xf>
    <xf numFmtId="0" fontId="13" fillId="0" borderId="3" xfId="0" applyFont="1" applyBorder="1" applyAlignment="1">
      <alignment horizontal="left" vertical="center" wrapText="1"/>
    </xf>
    <xf numFmtId="0" fontId="2" fillId="0" borderId="3" xfId="0" applyNumberFormat="1" applyFont="1" applyBorder="1" applyAlignment="1">
      <alignment horizontal="left" vertical="center"/>
    </xf>
    <xf numFmtId="0" fontId="11" fillId="4" borderId="29" xfId="0" applyNumberFormat="1" applyFont="1" applyFill="1" applyBorder="1" applyAlignment="1">
      <alignment horizontal="center" vertical="center"/>
    </xf>
    <xf numFmtId="0" fontId="11" fillId="4" borderId="30" xfId="0" applyNumberFormat="1" applyFont="1" applyFill="1" applyBorder="1" applyAlignment="1">
      <alignment horizontal="center" vertical="center"/>
    </xf>
    <xf numFmtId="0" fontId="2" fillId="0" borderId="26" xfId="0" applyNumberFormat="1" applyFont="1" applyBorder="1" applyAlignment="1">
      <alignment vertical="center"/>
    </xf>
    <xf numFmtId="0" fontId="2" fillId="0" borderId="44" xfId="0" applyNumberFormat="1" applyFont="1" applyBorder="1" applyAlignment="1">
      <alignment vertical="center"/>
    </xf>
    <xf numFmtId="0" fontId="2" fillId="0" borderId="27" xfId="0" applyNumberFormat="1" applyFont="1" applyBorder="1" applyAlignment="1">
      <alignment vertical="center"/>
    </xf>
    <xf numFmtId="0" fontId="2" fillId="0" borderId="3" xfId="0" applyNumberFormat="1" applyFont="1" applyBorder="1" applyAlignment="1">
      <alignment vertical="center"/>
    </xf>
    <xf numFmtId="0" fontId="2" fillId="0" borderId="26" xfId="0" applyNumberFormat="1" applyFont="1" applyFill="1" applyBorder="1" applyAlignment="1">
      <alignment vertical="center"/>
    </xf>
    <xf numFmtId="0" fontId="2" fillId="0" borderId="44" xfId="0" applyNumberFormat="1" applyFont="1" applyFill="1" applyBorder="1" applyAlignment="1">
      <alignment vertical="center"/>
    </xf>
    <xf numFmtId="0" fontId="2" fillId="0" borderId="27" xfId="0" applyNumberFormat="1" applyFont="1" applyFill="1" applyBorder="1" applyAlignment="1">
      <alignment vertical="center"/>
    </xf>
    <xf numFmtId="0" fontId="2" fillId="2" borderId="44" xfId="0" applyNumberFormat="1" applyFont="1" applyFill="1" applyBorder="1" applyAlignment="1">
      <alignment horizontal="center" vertical="center"/>
    </xf>
    <xf numFmtId="0" fontId="2" fillId="2" borderId="27"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0" borderId="26" xfId="0" applyFont="1" applyBorder="1" applyAlignment="1">
      <alignment vertical="center"/>
    </xf>
    <xf numFmtId="0" fontId="2" fillId="0" borderId="44" xfId="0" applyFont="1" applyBorder="1" applyAlignment="1">
      <alignment vertical="center"/>
    </xf>
    <xf numFmtId="0" fontId="2" fillId="0" borderId="27" xfId="0" applyFont="1" applyBorder="1" applyAlignment="1">
      <alignment vertical="center"/>
    </xf>
    <xf numFmtId="0" fontId="2" fillId="0" borderId="3" xfId="0" applyFont="1" applyBorder="1" applyAlignment="1">
      <alignment vertical="center"/>
    </xf>
    <xf numFmtId="0" fontId="11" fillId="3" borderId="3" xfId="0" applyNumberFormat="1" applyFont="1" applyFill="1" applyBorder="1" applyAlignment="1">
      <alignment horizontal="left" vertical="center" wrapText="1"/>
    </xf>
    <xf numFmtId="0" fontId="2" fillId="0" borderId="3" xfId="0" applyFont="1" applyFill="1" applyBorder="1" applyAlignment="1">
      <alignment horizontal="left" vertical="center" wrapText="1"/>
    </xf>
    <xf numFmtId="0" fontId="9" fillId="4" borderId="30"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2" fillId="0" borderId="3" xfId="0" applyFont="1" applyBorder="1"/>
    <xf numFmtId="2" fontId="2" fillId="2" borderId="26" xfId="0" applyNumberFormat="1" applyFont="1" applyFill="1" applyBorder="1" applyAlignment="1">
      <alignment vertical="center"/>
    </xf>
    <xf numFmtId="2" fontId="2" fillId="2" borderId="44" xfId="0" applyNumberFormat="1" applyFont="1" applyFill="1" applyBorder="1" applyAlignment="1">
      <alignment vertical="center"/>
    </xf>
    <xf numFmtId="2" fontId="2" fillId="2" borderId="27" xfId="0" applyNumberFormat="1" applyFont="1" applyFill="1" applyBorder="1" applyAlignment="1">
      <alignment vertical="center"/>
    </xf>
    <xf numFmtId="0" fontId="3" fillId="0" borderId="50" xfId="0" applyFont="1" applyBorder="1" applyAlignment="1">
      <alignment horizontal="center" vertical="center"/>
    </xf>
    <xf numFmtId="0" fontId="3" fillId="0" borderId="43" xfId="0" applyFont="1" applyBorder="1" applyAlignment="1">
      <alignment horizontal="center" vertical="center"/>
    </xf>
    <xf numFmtId="0" fontId="3" fillId="0" borderId="43" xfId="0" applyNumberFormat="1" applyFont="1" applyFill="1" applyBorder="1" applyAlignment="1">
      <alignment horizontal="center" vertical="center"/>
    </xf>
    <xf numFmtId="0" fontId="8" fillId="0" borderId="43" xfId="0" applyFont="1" applyBorder="1" applyAlignment="1">
      <alignment horizontal="left" vertical="center" wrapText="1"/>
    </xf>
    <xf numFmtId="2" fontId="3" fillId="0" borderId="43" xfId="0" applyNumberFormat="1" applyFont="1" applyFill="1" applyBorder="1" applyAlignment="1">
      <alignment horizontal="center" vertical="center"/>
    </xf>
    <xf numFmtId="44" fontId="3" fillId="0" borderId="43" xfId="1" applyFont="1" applyFill="1" applyBorder="1" applyAlignment="1">
      <alignment horizontal="left" vertical="center"/>
    </xf>
    <xf numFmtId="44" fontId="3" fillId="0" borderId="51" xfId="1" applyNumberFormat="1" applyFont="1" applyFill="1" applyBorder="1" applyAlignment="1">
      <alignment horizontal="center" vertical="center" wrapText="1"/>
    </xf>
    <xf numFmtId="0" fontId="3" fillId="2" borderId="50" xfId="0" applyNumberFormat="1" applyFont="1" applyFill="1" applyBorder="1" applyAlignment="1">
      <alignment horizontal="center" vertical="center"/>
    </xf>
    <xf numFmtId="0" fontId="3" fillId="2" borderId="43" xfId="0" applyNumberFormat="1" applyFont="1" applyFill="1" applyBorder="1" applyAlignment="1">
      <alignment horizontal="center" vertical="center"/>
    </xf>
    <xf numFmtId="2" fontId="3" fillId="2" borderId="43" xfId="0" applyNumberFormat="1" applyFont="1" applyFill="1" applyBorder="1" applyAlignment="1">
      <alignment horizontal="center" vertical="center"/>
    </xf>
    <xf numFmtId="44" fontId="3" fillId="2" borderId="43" xfId="0" applyNumberFormat="1" applyFont="1" applyFill="1" applyBorder="1" applyAlignment="1">
      <alignment horizontal="left" vertical="center"/>
    </xf>
    <xf numFmtId="44" fontId="3" fillId="2" borderId="51" xfId="0" applyNumberFormat="1" applyFont="1" applyFill="1" applyBorder="1" applyAlignment="1">
      <alignment horizontal="center" vertical="center"/>
    </xf>
    <xf numFmtId="49" fontId="16" fillId="0" borderId="0" xfId="5" applyNumberFormat="1" applyFont="1" applyBorder="1" applyAlignment="1">
      <alignment horizontal="center" vertical="center" wrapText="1"/>
    </xf>
    <xf numFmtId="0" fontId="4" fillId="2" borderId="7" xfId="0" applyFont="1" applyFill="1" applyBorder="1" applyAlignment="1">
      <alignment horizontal="center" vertical="top"/>
    </xf>
    <xf numFmtId="0" fontId="4" fillId="2" borderId="0" xfId="0" applyFont="1" applyFill="1" applyBorder="1" applyAlignment="1">
      <alignment horizontal="center" vertical="top"/>
    </xf>
    <xf numFmtId="0" fontId="4" fillId="2" borderId="8" xfId="0" applyFont="1" applyFill="1" applyBorder="1" applyAlignment="1">
      <alignment horizontal="center" vertical="top"/>
    </xf>
    <xf numFmtId="0" fontId="3" fillId="0" borderId="21"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49" fontId="13" fillId="0" borderId="10" xfId="5" applyNumberFormat="1" applyFont="1" applyBorder="1" applyAlignment="1">
      <alignment horizontal="center" vertical="center" wrapText="1"/>
    </xf>
    <xf numFmtId="0" fontId="3" fillId="0" borderId="0" xfId="0" applyFont="1" applyBorder="1" applyAlignment="1">
      <alignment horizontal="center" vertical="center"/>
    </xf>
    <xf numFmtId="49" fontId="13" fillId="0" borderId="0" xfId="5" applyNumberFormat="1" applyFont="1" applyBorder="1" applyAlignment="1">
      <alignment horizontal="center" vertical="center" wrapText="1"/>
    </xf>
    <xf numFmtId="0" fontId="2" fillId="0" borderId="44"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26" xfId="0" applyNumberFormat="1" applyFont="1" applyFill="1" applyBorder="1" applyAlignment="1">
      <alignment horizontal="center" vertical="center"/>
    </xf>
    <xf numFmtId="0" fontId="2" fillId="0" borderId="27"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11" fillId="0" borderId="0" xfId="0" applyFont="1" applyBorder="1" applyAlignment="1">
      <alignment horizontal="center" vertical="center"/>
    </xf>
    <xf numFmtId="0" fontId="2" fillId="0" borderId="19" xfId="0" applyNumberFormat="1" applyFont="1" applyBorder="1" applyAlignment="1">
      <alignment horizontal="center" vertical="center"/>
    </xf>
    <xf numFmtId="0" fontId="11" fillId="0" borderId="1" xfId="0" applyNumberFormat="1" applyFont="1" applyFill="1" applyBorder="1" applyAlignment="1">
      <alignment horizontal="center" vertical="center"/>
    </xf>
    <xf numFmtId="2" fontId="11" fillId="4" borderId="1" xfId="0" applyNumberFormat="1" applyFont="1" applyFill="1" applyBorder="1" applyAlignment="1">
      <alignment horizontal="center" vertical="center"/>
    </xf>
    <xf numFmtId="2" fontId="2" fillId="0" borderId="1" xfId="1" applyNumberFormat="1" applyFont="1" applyBorder="1" applyAlignment="1">
      <alignment horizontal="center" vertical="center"/>
    </xf>
    <xf numFmtId="2" fontId="15" fillId="2" borderId="0" xfId="0" applyNumberFormat="1" applyFont="1" applyFill="1" applyBorder="1" applyAlignment="1">
      <alignment horizontal="center" vertical="center" wrapText="1"/>
    </xf>
    <xf numFmtId="49" fontId="16" fillId="0" borderId="0" xfId="5" applyNumberFormat="1" applyFont="1" applyBorder="1" applyAlignment="1">
      <alignment horizontal="center" vertical="center" wrapText="1"/>
    </xf>
    <xf numFmtId="2" fontId="2" fillId="0" borderId="19" xfId="1" applyNumberFormat="1" applyFont="1" applyBorder="1" applyAlignment="1">
      <alignment horizontal="center" vertical="center"/>
    </xf>
    <xf numFmtId="0" fontId="11" fillId="0" borderId="2"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2" fontId="2" fillId="0" borderId="1" xfId="0" applyNumberFormat="1" applyFont="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2" fontId="2" fillId="2" borderId="1" xfId="1" applyNumberFormat="1" applyFont="1" applyFill="1" applyBorder="1" applyAlignment="1">
      <alignment horizontal="center" vertical="center"/>
    </xf>
    <xf numFmtId="2" fontId="11" fillId="4" borderId="1" xfId="2" applyNumberFormat="1" applyFont="1" applyFill="1" applyBorder="1" applyAlignment="1">
      <alignment horizontal="center" vertical="center"/>
    </xf>
    <xf numFmtId="2" fontId="2" fillId="0" borderId="1" xfId="2"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43" xfId="0" quotePrefix="1" applyNumberFormat="1" applyFont="1" applyBorder="1" applyAlignment="1">
      <alignment horizontal="center" vertical="center"/>
    </xf>
    <xf numFmtId="0" fontId="7" fillId="0" borderId="43" xfId="0" quotePrefix="1" applyNumberFormat="1" applyFont="1" applyBorder="1" applyAlignment="1">
      <alignment horizontal="left" vertical="center"/>
    </xf>
    <xf numFmtId="2" fontId="3" fillId="0" borderId="43" xfId="0" applyNumberFormat="1" applyFont="1" applyBorder="1" applyAlignment="1">
      <alignment horizontal="center" vertical="center"/>
    </xf>
    <xf numFmtId="2" fontId="8" fillId="0" borderId="43" xfId="0" applyNumberFormat="1" applyFont="1" applyBorder="1" applyAlignment="1">
      <alignment horizontal="center" vertical="center"/>
    </xf>
    <xf numFmtId="44" fontId="7" fillId="0" borderId="43" xfId="1" applyNumberFormat="1" applyFont="1" applyBorder="1" applyAlignment="1">
      <alignment horizontal="left" vertical="center"/>
    </xf>
    <xf numFmtId="44" fontId="3" fillId="0" borderId="51" xfId="1" applyFont="1" applyFill="1" applyBorder="1" applyAlignment="1">
      <alignment horizontal="center" vertical="center"/>
    </xf>
    <xf numFmtId="0" fontId="3" fillId="0" borderId="50" xfId="0" applyNumberFormat="1" applyFont="1" applyBorder="1" applyAlignment="1">
      <alignment horizontal="center" vertical="center"/>
    </xf>
    <xf numFmtId="0" fontId="3" fillId="0" borderId="50"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3" xfId="0" applyNumberFormat="1" applyFont="1" applyFill="1" applyBorder="1" applyAlignment="1">
      <alignment horizontal="left" vertical="center"/>
    </xf>
    <xf numFmtId="44" fontId="7" fillId="0" borderId="43" xfId="1" applyNumberFormat="1" applyFont="1" applyBorder="1" applyAlignment="1">
      <alignment horizontal="left" vertical="center" wrapText="1"/>
    </xf>
    <xf numFmtId="44" fontId="7" fillId="0" borderId="51" xfId="1" applyFont="1" applyBorder="1" applyAlignment="1">
      <alignment horizontal="right" vertical="center" wrapText="1"/>
    </xf>
    <xf numFmtId="0" fontId="3" fillId="0" borderId="43" xfId="0" applyNumberFormat="1" applyFont="1" applyBorder="1" applyAlignment="1">
      <alignment horizontal="center" vertical="center"/>
    </xf>
    <xf numFmtId="0" fontId="7" fillId="0" borderId="43" xfId="0" quotePrefix="1" applyNumberFormat="1" applyFont="1" applyBorder="1" applyAlignment="1">
      <alignment horizontal="center" vertical="center" wrapText="1"/>
    </xf>
    <xf numFmtId="44" fontId="7" fillId="0" borderId="43" xfId="1" applyFont="1" applyBorder="1" applyAlignment="1">
      <alignment horizontal="left" vertical="center" wrapText="1"/>
    </xf>
    <xf numFmtId="0" fontId="3" fillId="0" borderId="43" xfId="0" applyFont="1" applyBorder="1" applyAlignment="1">
      <alignment horizontal="left" vertical="center"/>
    </xf>
    <xf numFmtId="2" fontId="3" fillId="0" borderId="43" xfId="0" applyNumberFormat="1" applyFont="1" applyBorder="1" applyAlignment="1">
      <alignment horizontal="center" vertical="center" wrapText="1"/>
    </xf>
    <xf numFmtId="44" fontId="3" fillId="0" borderId="43" xfId="1" applyFont="1" applyBorder="1" applyAlignment="1">
      <alignment horizontal="left" vertical="center"/>
    </xf>
    <xf numFmtId="0" fontId="8" fillId="0" borderId="43" xfId="0" applyFont="1" applyBorder="1" applyAlignment="1">
      <alignment horizontal="center" vertical="center" wrapText="1"/>
    </xf>
    <xf numFmtId="2" fontId="7" fillId="0" borderId="43" xfId="0" applyNumberFormat="1" applyFont="1" applyBorder="1" applyAlignment="1">
      <alignment horizontal="center" vertical="center" wrapText="1"/>
    </xf>
    <xf numFmtId="0" fontId="3" fillId="0" borderId="50" xfId="0" applyNumberFormat="1" applyFont="1" applyFill="1" applyBorder="1" applyAlignment="1">
      <alignment horizontal="center" vertical="center"/>
    </xf>
    <xf numFmtId="44" fontId="3" fillId="0" borderId="43" xfId="1" applyNumberFormat="1" applyFont="1" applyBorder="1" applyAlignment="1">
      <alignment horizontal="left" vertical="center" wrapText="1"/>
    </xf>
    <xf numFmtId="44" fontId="3" fillId="0" borderId="43" xfId="1" applyNumberFormat="1" applyFont="1" applyFill="1" applyBorder="1" applyAlignment="1">
      <alignment horizontal="left" vertical="center"/>
    </xf>
    <xf numFmtId="0" fontId="3" fillId="0" borderId="43" xfId="0" applyFont="1" applyFill="1" applyBorder="1" applyAlignment="1">
      <alignment horizontal="left" vertical="center" wrapText="1"/>
    </xf>
    <xf numFmtId="44" fontId="3" fillId="0" borderId="43" xfId="0" applyNumberFormat="1" applyFont="1" applyFill="1" applyBorder="1" applyAlignment="1">
      <alignment horizontal="left" vertical="center"/>
    </xf>
    <xf numFmtId="44" fontId="3" fillId="0" borderId="51" xfId="0" applyNumberFormat="1" applyFont="1" applyFill="1" applyBorder="1" applyAlignment="1">
      <alignment vertical="center"/>
    </xf>
    <xf numFmtId="44" fontId="3" fillId="0" borderId="51" xfId="0" applyNumberFormat="1" applyFont="1" applyFill="1" applyBorder="1" applyAlignment="1">
      <alignment horizontal="center" vertical="center"/>
    </xf>
    <xf numFmtId="49" fontId="16" fillId="0" borderId="0" xfId="5" applyNumberFormat="1"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vertical="center"/>
    </xf>
    <xf numFmtId="0" fontId="11" fillId="6" borderId="12" xfId="0" applyNumberFormat="1" applyFont="1" applyFill="1" applyBorder="1" applyAlignment="1">
      <alignment horizontal="center" vertical="center"/>
    </xf>
    <xf numFmtId="0" fontId="11" fillId="6" borderId="31" xfId="0" applyNumberFormat="1" applyFont="1" applyFill="1" applyBorder="1" applyAlignment="1">
      <alignment horizontal="center" vertical="center"/>
    </xf>
    <xf numFmtId="0" fontId="11" fillId="6" borderId="8" xfId="0" applyNumberFormat="1" applyFont="1" applyFill="1" applyBorder="1" applyAlignment="1">
      <alignment horizontal="center" vertical="center"/>
    </xf>
    <xf numFmtId="0" fontId="11" fillId="4" borderId="31" xfId="0" applyNumberFormat="1" applyFont="1" applyFill="1" applyBorder="1" applyAlignment="1">
      <alignment horizontal="center" vertical="center"/>
    </xf>
    <xf numFmtId="2" fontId="11" fillId="4" borderId="13" xfId="2" applyNumberFormat="1" applyFont="1" applyFill="1" applyBorder="1" applyAlignment="1">
      <alignment horizontal="center" vertical="center"/>
    </xf>
    <xf numFmtId="2" fontId="2" fillId="0" borderId="13" xfId="2" applyNumberFormat="1" applyFont="1" applyFill="1" applyBorder="1" applyAlignment="1">
      <alignment horizontal="center" vertical="center"/>
    </xf>
    <xf numFmtId="2" fontId="2" fillId="0" borderId="13" xfId="0" applyNumberFormat="1" applyFont="1" applyFill="1" applyBorder="1" applyAlignment="1">
      <alignment horizontal="center" vertical="center" wrapText="1"/>
    </xf>
    <xf numFmtId="0" fontId="11" fillId="4" borderId="32" xfId="0" applyNumberFormat="1" applyFont="1" applyFill="1" applyBorder="1" applyAlignment="1">
      <alignment horizontal="center" vertical="center"/>
    </xf>
    <xf numFmtId="2" fontId="2" fillId="0" borderId="13" xfId="0" applyNumberFormat="1" applyFont="1" applyBorder="1" applyAlignment="1">
      <alignment horizontal="center" vertical="center" wrapText="1"/>
    </xf>
    <xf numFmtId="0" fontId="11" fillId="4" borderId="12" xfId="0" applyNumberFormat="1" applyFont="1" applyFill="1" applyBorder="1" applyAlignment="1">
      <alignment horizontal="center" vertical="center"/>
    </xf>
    <xf numFmtId="2" fontId="11" fillId="4" borderId="13" xfId="0" applyNumberFormat="1" applyFont="1" applyFill="1" applyBorder="1" applyAlignment="1">
      <alignment horizontal="center" vertical="center"/>
    </xf>
    <xf numFmtId="0" fontId="2" fillId="0" borderId="16" xfId="0" applyNumberFormat="1" applyFont="1" applyBorder="1" applyAlignment="1">
      <alignment vertical="center"/>
    </xf>
    <xf numFmtId="0" fontId="2" fillId="0" borderId="7" xfId="0" applyNumberFormat="1" applyFont="1" applyBorder="1" applyAlignment="1">
      <alignment vertical="center"/>
    </xf>
    <xf numFmtId="0" fontId="2" fillId="0" borderId="21" xfId="0" applyNumberFormat="1" applyFont="1" applyBorder="1" applyAlignment="1">
      <alignment vertical="center"/>
    </xf>
    <xf numFmtId="2" fontId="2" fillId="0" borderId="13" xfId="0" applyNumberFormat="1" applyFont="1" applyFill="1" applyBorder="1" applyAlignment="1">
      <alignment horizontal="center" vertical="center"/>
    </xf>
    <xf numFmtId="2" fontId="2" fillId="2" borderId="13"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wrapText="1"/>
    </xf>
    <xf numFmtId="0" fontId="11" fillId="4" borderId="12" xfId="0" applyFont="1" applyFill="1" applyBorder="1" applyAlignment="1">
      <alignment horizontal="center" vertical="center"/>
    </xf>
    <xf numFmtId="0" fontId="11" fillId="6" borderId="13" xfId="0" applyNumberFormat="1" applyFont="1" applyFill="1" applyBorder="1" applyAlignment="1">
      <alignment horizontal="center" vertical="center"/>
    </xf>
    <xf numFmtId="0" fontId="2" fillId="0" borderId="21" xfId="0" applyNumberFormat="1" applyFont="1" applyBorder="1" applyAlignment="1">
      <alignment horizontal="center" vertical="center"/>
    </xf>
    <xf numFmtId="2" fontId="11" fillId="3" borderId="13" xfId="0" applyNumberFormat="1" applyFont="1" applyFill="1" applyBorder="1" applyAlignment="1">
      <alignment horizontal="center" vertical="center"/>
    </xf>
    <xf numFmtId="2" fontId="2" fillId="3" borderId="13" xfId="0" applyNumberFormat="1" applyFont="1" applyFill="1" applyBorder="1" applyAlignment="1">
      <alignment horizontal="center" vertical="center"/>
    </xf>
    <xf numFmtId="2" fontId="2" fillId="3" borderId="13" xfId="1" applyNumberFormat="1" applyFont="1" applyFill="1" applyBorder="1" applyAlignment="1">
      <alignment horizontal="center" vertical="center"/>
    </xf>
    <xf numFmtId="166" fontId="11" fillId="4" borderId="13" xfId="0" applyNumberFormat="1" applyFont="1" applyFill="1" applyBorder="1" applyAlignment="1">
      <alignment horizontal="center" vertical="center"/>
    </xf>
    <xf numFmtId="166" fontId="2" fillId="0" borderId="13" xfId="0" applyNumberFormat="1" applyFont="1" applyBorder="1" applyAlignment="1">
      <alignment horizontal="center" vertical="center" wrapText="1"/>
    </xf>
    <xf numFmtId="2" fontId="2" fillId="0" borderId="13" xfId="1" applyNumberFormat="1" applyFont="1" applyBorder="1" applyAlignment="1">
      <alignment horizontal="center" vertical="center"/>
    </xf>
    <xf numFmtId="2" fontId="11" fillId="2" borderId="13" xfId="0" applyNumberFormat="1" applyFont="1" applyFill="1" applyBorder="1" applyAlignment="1">
      <alignment horizontal="center" vertical="center"/>
    </xf>
    <xf numFmtId="0" fontId="2" fillId="0" borderId="28" xfId="0" applyNumberFormat="1" applyFont="1" applyBorder="1" applyAlignment="1">
      <alignment horizontal="center" vertical="center"/>
    </xf>
    <xf numFmtId="0" fontId="11" fillId="3" borderId="13" xfId="0" applyNumberFormat="1" applyFont="1" applyFill="1" applyBorder="1" applyAlignment="1">
      <alignment horizontal="center" vertical="center"/>
    </xf>
    <xf numFmtId="0" fontId="11" fillId="2" borderId="12" xfId="0" applyNumberFormat="1" applyFont="1" applyFill="1" applyBorder="1" applyAlignment="1">
      <alignment horizontal="center" vertical="center"/>
    </xf>
    <xf numFmtId="2" fontId="2" fillId="0" borderId="13" xfId="0" applyNumberFormat="1" applyFont="1" applyBorder="1" applyAlignment="1">
      <alignment horizontal="center" vertical="center"/>
    </xf>
    <xf numFmtId="2" fontId="11" fillId="3" borderId="13"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xf>
    <xf numFmtId="0" fontId="2" fillId="0" borderId="28" xfId="0" applyNumberFormat="1" applyFont="1" applyBorder="1" applyAlignment="1">
      <alignment vertical="center"/>
    </xf>
    <xf numFmtId="0" fontId="2" fillId="0" borderId="16" xfId="0" applyNumberFormat="1" applyFont="1" applyFill="1" applyBorder="1" applyAlignment="1">
      <alignment vertical="center"/>
    </xf>
    <xf numFmtId="0" fontId="2" fillId="0" borderId="7" xfId="0" applyNumberFormat="1" applyFont="1" applyFill="1" applyBorder="1" applyAlignment="1">
      <alignment vertical="center"/>
    </xf>
    <xf numFmtId="0" fontId="2" fillId="0" borderId="21" xfId="0" applyNumberFormat="1" applyFont="1" applyFill="1" applyBorder="1" applyAlignment="1">
      <alignment vertical="center"/>
    </xf>
    <xf numFmtId="0" fontId="2" fillId="0" borderId="16"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16" xfId="0" applyNumberFormat="1" applyFont="1" applyFill="1" applyBorder="1" applyAlignment="1">
      <alignment horizontal="center" vertical="center"/>
    </xf>
    <xf numFmtId="2" fontId="2" fillId="0" borderId="8" xfId="0" applyNumberFormat="1" applyFont="1" applyBorder="1" applyAlignment="1">
      <alignment horizontal="center" vertical="center"/>
    </xf>
    <xf numFmtId="0" fontId="2" fillId="0" borderId="21" xfId="0" applyNumberFormat="1" applyFont="1" applyFill="1" applyBorder="1" applyAlignment="1">
      <alignment horizontal="center" vertical="center"/>
    </xf>
    <xf numFmtId="0" fontId="11" fillId="7" borderId="12" xfId="0" applyNumberFormat="1" applyFont="1" applyFill="1" applyBorder="1" applyAlignment="1">
      <alignment horizontal="center" vertical="center"/>
    </xf>
    <xf numFmtId="0" fontId="11" fillId="7" borderId="13" xfId="0" applyNumberFormat="1" applyFont="1" applyFill="1" applyBorder="1" applyAlignment="1">
      <alignment horizontal="center" vertical="center"/>
    </xf>
    <xf numFmtId="0" fontId="2" fillId="0" borderId="16" xfId="0" applyFont="1" applyBorder="1" applyAlignment="1">
      <alignment vertical="center"/>
    </xf>
    <xf numFmtId="0" fontId="2" fillId="0" borderId="7" xfId="0" applyFont="1" applyBorder="1" applyAlignment="1">
      <alignment vertical="center"/>
    </xf>
    <xf numFmtId="0" fontId="2" fillId="0" borderId="21" xfId="0" applyFont="1" applyBorder="1" applyAlignment="1">
      <alignment vertical="center"/>
    </xf>
    <xf numFmtId="0" fontId="11" fillId="6" borderId="12" xfId="0" applyFont="1" applyFill="1" applyBorder="1" applyAlignment="1">
      <alignment horizontal="center" vertical="center"/>
    </xf>
    <xf numFmtId="0" fontId="11" fillId="6" borderId="13" xfId="0" applyFont="1" applyFill="1" applyBorder="1" applyAlignment="1">
      <alignment horizontal="center" vertical="center"/>
    </xf>
    <xf numFmtId="2" fontId="11" fillId="3" borderId="13" xfId="1" applyNumberFormat="1" applyFont="1" applyFill="1" applyBorder="1" applyAlignment="1">
      <alignment horizontal="center" vertical="center"/>
    </xf>
    <xf numFmtId="0" fontId="2" fillId="0" borderId="7" xfId="0" applyNumberFormat="1" applyFont="1" applyBorder="1" applyAlignment="1">
      <alignment horizontal="center" vertical="center"/>
    </xf>
    <xf numFmtId="2" fontId="2" fillId="0" borderId="24" xfId="0" applyNumberFormat="1" applyFont="1" applyFill="1" applyBorder="1" applyAlignment="1">
      <alignment horizontal="center" vertical="center"/>
    </xf>
    <xf numFmtId="2" fontId="2" fillId="2" borderId="16" xfId="0" applyNumberFormat="1" applyFont="1" applyFill="1" applyBorder="1" applyAlignment="1">
      <alignment vertical="center"/>
    </xf>
    <xf numFmtId="2" fontId="2" fillId="2" borderId="13" xfId="1" applyNumberFormat="1" applyFont="1" applyFill="1" applyBorder="1" applyAlignment="1">
      <alignment horizontal="center" vertical="center"/>
    </xf>
    <xf numFmtId="2" fontId="2" fillId="2" borderId="7" xfId="0" applyNumberFormat="1" applyFont="1" applyFill="1" applyBorder="1" applyAlignment="1">
      <alignment vertical="center"/>
    </xf>
    <xf numFmtId="2" fontId="2" fillId="2" borderId="21" xfId="0" applyNumberFormat="1" applyFont="1" applyFill="1" applyBorder="1" applyAlignment="1">
      <alignment vertical="center"/>
    </xf>
    <xf numFmtId="0" fontId="2" fillId="2" borderId="12"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0" fontId="2" fillId="0" borderId="0" xfId="0" applyFont="1" applyBorder="1" applyAlignment="1">
      <alignment vertical="center"/>
    </xf>
    <xf numFmtId="0" fontId="2" fillId="0" borderId="8" xfId="0" applyFont="1" applyBorder="1" applyAlignment="1">
      <alignment vertical="center"/>
    </xf>
    <xf numFmtId="2" fontId="15" fillId="0" borderId="8" xfId="1"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49" fontId="16" fillId="0" borderId="10" xfId="5" applyNumberFormat="1" applyFont="1" applyBorder="1" applyAlignment="1">
      <alignment horizontal="center" vertical="center" wrapText="1"/>
    </xf>
    <xf numFmtId="2" fontId="3" fillId="0" borderId="10" xfId="0" applyNumberFormat="1"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2" fontId="2" fillId="0" borderId="1" xfId="1" applyNumberFormat="1" applyFont="1" applyBorder="1" applyAlignment="1">
      <alignment horizontal="center" vertical="center"/>
    </xf>
    <xf numFmtId="0" fontId="2" fillId="0" borderId="12"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2" fillId="0" borderId="44"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2" fontId="11" fillId="4" borderId="1" xfId="0" applyNumberFormat="1" applyFont="1" applyFill="1" applyBorder="1" applyAlignment="1">
      <alignment horizontal="center" vertical="center"/>
    </xf>
    <xf numFmtId="2" fontId="2" fillId="0" borderId="1" xfId="0" applyNumberFormat="1" applyFont="1" applyBorder="1" applyAlignment="1">
      <alignment horizontal="center" vertical="center" wrapText="1"/>
    </xf>
    <xf numFmtId="0" fontId="11" fillId="6" borderId="12" xfId="0" applyNumberFormat="1" applyFont="1" applyFill="1" applyBorder="1" applyAlignment="1">
      <alignment horizontal="left" vertical="center"/>
    </xf>
    <xf numFmtId="0" fontId="11" fillId="6" borderId="1" xfId="0" applyNumberFormat="1" applyFont="1" applyFill="1" applyBorder="1" applyAlignment="1">
      <alignment horizontal="left" vertical="center"/>
    </xf>
    <xf numFmtId="0" fontId="2" fillId="6" borderId="1" xfId="0" applyNumberFormat="1" applyFont="1" applyFill="1" applyBorder="1" applyAlignment="1">
      <alignment horizontal="left" vertical="center"/>
    </xf>
    <xf numFmtId="0" fontId="2" fillId="6" borderId="13" xfId="0" applyNumberFormat="1" applyFont="1" applyFill="1" applyBorder="1" applyAlignment="1">
      <alignment horizontal="left" vertical="center"/>
    </xf>
    <xf numFmtId="2" fontId="2" fillId="0" borderId="2" xfId="1" applyNumberFormat="1" applyFont="1" applyBorder="1" applyAlignment="1">
      <alignment horizontal="center" vertical="center"/>
    </xf>
    <xf numFmtId="2" fontId="2" fillId="0" borderId="3" xfId="1" applyNumberFormat="1" applyFont="1" applyBorder="1" applyAlignment="1">
      <alignment horizontal="center" vertical="center"/>
    </xf>
    <xf numFmtId="0" fontId="2" fillId="0" borderId="28"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21"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2" fillId="2" borderId="1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2" fillId="0" borderId="7" xfId="0" applyNumberFormat="1" applyFont="1" applyBorder="1" applyAlignment="1">
      <alignment horizontal="center" vertical="center"/>
    </xf>
    <xf numFmtId="0" fontId="2" fillId="0" borderId="44"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44" xfId="0" applyNumberFormat="1" applyFont="1" applyFill="1" applyBorder="1" applyAlignment="1">
      <alignment horizontal="center" vertical="center"/>
    </xf>
    <xf numFmtId="0" fontId="2" fillId="0" borderId="21" xfId="0" applyNumberFormat="1" applyFont="1" applyFill="1" applyBorder="1" applyAlignment="1">
      <alignment horizontal="center" vertical="center"/>
    </xf>
    <xf numFmtId="0" fontId="2" fillId="0" borderId="27" xfId="0" applyNumberFormat="1" applyFont="1" applyFill="1" applyBorder="1" applyAlignment="1">
      <alignment horizontal="center" vertical="center"/>
    </xf>
    <xf numFmtId="2" fontId="11" fillId="4" borderId="1" xfId="2"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2" fontId="11" fillId="4" borderId="2" xfId="0" applyNumberFormat="1" applyFont="1" applyFill="1" applyBorder="1" applyAlignment="1">
      <alignment horizontal="center" vertical="center"/>
    </xf>
    <xf numFmtId="2" fontId="11" fillId="4" borderId="3" xfId="0" applyNumberFormat="1" applyFont="1" applyFill="1" applyBorder="1" applyAlignment="1">
      <alignment horizontal="center" vertical="center"/>
    </xf>
    <xf numFmtId="0" fontId="2" fillId="0" borderId="19" xfId="0" applyNumberFormat="1" applyFont="1" applyBorder="1" applyAlignment="1">
      <alignment horizontal="center" vertical="center"/>
    </xf>
    <xf numFmtId="0" fontId="11" fillId="6" borderId="12" xfId="0" applyNumberFormat="1" applyFont="1" applyFill="1" applyBorder="1" applyAlignment="1">
      <alignment horizontal="center" vertical="center"/>
    </xf>
    <xf numFmtId="0" fontId="11" fillId="6" borderId="1" xfId="0" applyNumberFormat="1" applyFont="1" applyFill="1" applyBorder="1" applyAlignment="1">
      <alignment horizontal="center" vertical="center"/>
    </xf>
    <xf numFmtId="2" fontId="2" fillId="0" borderId="1" xfId="2" applyNumberFormat="1" applyFont="1" applyFill="1" applyBorder="1" applyAlignment="1">
      <alignment horizontal="center" vertical="center"/>
    </xf>
    <xf numFmtId="0" fontId="11" fillId="6" borderId="2" xfId="0" applyNumberFormat="1" applyFont="1" applyFill="1" applyBorder="1" applyAlignment="1">
      <alignment horizontal="left" vertical="center"/>
    </xf>
    <xf numFmtId="0" fontId="11" fillId="6" borderId="19" xfId="0" applyNumberFormat="1" applyFont="1" applyFill="1" applyBorder="1" applyAlignment="1">
      <alignment horizontal="left" vertical="center"/>
    </xf>
    <xf numFmtId="0" fontId="11" fillId="6" borderId="3" xfId="0" applyNumberFormat="1"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16"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xf>
    <xf numFmtId="0" fontId="11" fillId="0" borderId="21" xfId="0" applyNumberFormat="1" applyFont="1" applyFill="1" applyBorder="1" applyAlignment="1">
      <alignment horizontal="center" vertical="center"/>
    </xf>
    <xf numFmtId="0" fontId="11" fillId="0" borderId="20" xfId="0" applyNumberFormat="1" applyFont="1" applyFill="1" applyBorder="1" applyAlignment="1">
      <alignment horizontal="center" vertical="center"/>
    </xf>
    <xf numFmtId="0" fontId="11" fillId="6" borderId="13" xfId="0" applyNumberFormat="1" applyFont="1" applyFill="1" applyBorder="1" applyAlignment="1">
      <alignment horizontal="left" vertical="center"/>
    </xf>
    <xf numFmtId="0" fontId="11" fillId="6" borderId="2" xfId="0" applyFont="1" applyFill="1" applyBorder="1" applyAlignment="1">
      <alignment horizontal="left"/>
    </xf>
    <xf numFmtId="0" fontId="11" fillId="6" borderId="19" xfId="0" applyFont="1" applyFill="1" applyBorder="1" applyAlignment="1">
      <alignment horizontal="left"/>
    </xf>
    <xf numFmtId="0" fontId="11" fillId="6" borderId="3" xfId="0" applyFont="1" applyFill="1" applyBorder="1" applyAlignment="1">
      <alignment horizontal="left"/>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2" fontId="2" fillId="0" borderId="2" xfId="0" applyNumberFormat="1" applyFont="1" applyFill="1" applyBorder="1" applyAlignment="1">
      <alignment horizontal="center" vertical="center"/>
    </xf>
    <xf numFmtId="2" fontId="2" fillId="0" borderId="3"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6" borderId="28" xfId="0" applyNumberFormat="1" applyFont="1" applyFill="1" applyBorder="1" applyAlignment="1">
      <alignment horizontal="left" vertical="center"/>
    </xf>
    <xf numFmtId="0" fontId="2" fillId="6" borderId="19" xfId="0" applyNumberFormat="1" applyFont="1" applyFill="1" applyBorder="1" applyAlignment="1">
      <alignment horizontal="left" vertical="center"/>
    </xf>
    <xf numFmtId="0" fontId="2" fillId="6" borderId="24" xfId="0" applyNumberFormat="1" applyFont="1" applyFill="1" applyBorder="1" applyAlignment="1">
      <alignment horizontal="left" vertical="center"/>
    </xf>
    <xf numFmtId="0" fontId="11" fillId="6" borderId="29" xfId="0" applyNumberFormat="1" applyFont="1" applyFill="1" applyBorder="1" applyAlignment="1">
      <alignment horizontal="left" vertical="center"/>
    </xf>
    <xf numFmtId="0" fontId="11" fillId="6" borderId="15" xfId="0" applyNumberFormat="1" applyFont="1" applyFill="1" applyBorder="1" applyAlignment="1">
      <alignment horizontal="left" vertical="center"/>
    </xf>
    <xf numFmtId="0" fontId="11" fillId="6" borderId="26" xfId="0" applyNumberFormat="1" applyFont="1" applyFill="1" applyBorder="1" applyAlignment="1">
      <alignment horizontal="left" vertical="center"/>
    </xf>
    <xf numFmtId="0" fontId="11" fillId="2" borderId="52" xfId="0" applyNumberFormat="1" applyFont="1" applyFill="1" applyBorder="1" applyAlignment="1">
      <alignment horizontal="center" vertical="center"/>
    </xf>
    <xf numFmtId="0" fontId="11" fillId="2" borderId="48" xfId="0" applyNumberFormat="1" applyFont="1" applyFill="1" applyBorder="1" applyAlignment="1">
      <alignment horizontal="center" vertical="center"/>
    </xf>
    <xf numFmtId="0" fontId="11" fillId="2" borderId="53" xfId="0" applyNumberFormat="1" applyFont="1" applyFill="1" applyBorder="1" applyAlignment="1">
      <alignment horizontal="center" vertical="center"/>
    </xf>
    <xf numFmtId="0" fontId="11" fillId="2" borderId="49" xfId="0" applyNumberFormat="1" applyFont="1" applyFill="1" applyBorder="1" applyAlignment="1">
      <alignment horizontal="center" vertical="center"/>
    </xf>
    <xf numFmtId="0" fontId="11" fillId="2" borderId="54" xfId="0" applyNumberFormat="1" applyFont="1" applyFill="1" applyBorder="1" applyAlignment="1">
      <alignment horizontal="center" vertical="center"/>
    </xf>
    <xf numFmtId="0" fontId="11" fillId="2" borderId="47" xfId="0" applyNumberFormat="1" applyFont="1" applyFill="1" applyBorder="1" applyAlignment="1">
      <alignment horizontal="center" vertical="center"/>
    </xf>
    <xf numFmtId="0" fontId="10" fillId="0" borderId="21"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8" xfId="0" applyFont="1" applyFill="1" applyBorder="1" applyAlignment="1">
      <alignment horizontal="center" vertical="center"/>
    </xf>
    <xf numFmtId="2" fontId="11" fillId="6" borderId="2" xfId="1" applyNumberFormat="1" applyFont="1" applyFill="1" applyBorder="1" applyAlignment="1">
      <alignment horizontal="center" vertical="center"/>
    </xf>
    <xf numFmtId="2" fontId="11" fillId="6" borderId="19" xfId="1" applyNumberFormat="1" applyFont="1" applyFill="1" applyBorder="1" applyAlignment="1">
      <alignment horizontal="center" vertical="center"/>
    </xf>
    <xf numFmtId="2" fontId="11" fillId="6" borderId="24" xfId="1" applyNumberFormat="1" applyFont="1" applyFill="1" applyBorder="1" applyAlignment="1">
      <alignment horizontal="center" vertical="center"/>
    </xf>
    <xf numFmtId="0" fontId="11" fillId="6" borderId="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 xfId="0" applyFont="1" applyFill="1" applyBorder="1" applyAlignment="1">
      <alignment horizontal="left" vertical="center"/>
    </xf>
    <xf numFmtId="0" fontId="11" fillId="2" borderId="12"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1" fillId="6" borderId="24" xfId="0" applyNumberFormat="1" applyFont="1" applyFill="1" applyBorder="1" applyAlignment="1">
      <alignment horizontal="left"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19" xfId="0" applyFont="1" applyFill="1" applyBorder="1" applyAlignment="1">
      <alignment horizontal="center" vertical="center"/>
    </xf>
    <xf numFmtId="2" fontId="2" fillId="2" borderId="1" xfId="1" applyNumberFormat="1" applyFont="1" applyFill="1" applyBorder="1" applyAlignment="1">
      <alignment horizontal="center" vertical="center"/>
    </xf>
    <xf numFmtId="0" fontId="11" fillId="7" borderId="2" xfId="0" applyNumberFormat="1" applyFont="1" applyFill="1" applyBorder="1" applyAlignment="1">
      <alignment horizontal="left" vertical="center"/>
    </xf>
    <xf numFmtId="0" fontId="11" fillId="7" borderId="19" xfId="0" applyNumberFormat="1" applyFont="1" applyFill="1" applyBorder="1" applyAlignment="1">
      <alignment horizontal="left" vertical="center"/>
    </xf>
    <xf numFmtId="0" fontId="11" fillId="7" borderId="3" xfId="0" applyNumberFormat="1" applyFont="1" applyFill="1" applyBorder="1" applyAlignment="1">
      <alignment horizontal="left" vertical="center"/>
    </xf>
    <xf numFmtId="0" fontId="11" fillId="2" borderId="16" xfId="0" applyNumberFormat="1" applyFont="1" applyFill="1" applyBorder="1" applyAlignment="1">
      <alignment horizontal="center" vertical="center"/>
    </xf>
    <xf numFmtId="0" fontId="11" fillId="2" borderId="26" xfId="0" applyNumberFormat="1" applyFont="1" applyFill="1" applyBorder="1" applyAlignment="1">
      <alignment horizontal="center" vertical="center"/>
    </xf>
    <xf numFmtId="0" fontId="11" fillId="2" borderId="21" xfId="0" applyNumberFormat="1" applyFont="1" applyFill="1" applyBorder="1" applyAlignment="1">
      <alignment horizontal="center" vertical="center"/>
    </xf>
    <xf numFmtId="0" fontId="11" fillId="2" borderId="27" xfId="0" applyNumberFormat="1" applyFont="1" applyFill="1" applyBorder="1" applyAlignment="1">
      <alignment horizontal="center" vertical="center"/>
    </xf>
    <xf numFmtId="0" fontId="11" fillId="3" borderId="28" xfId="0" applyFont="1" applyFill="1" applyBorder="1" applyAlignment="1">
      <alignment horizontal="center"/>
    </xf>
    <xf numFmtId="0" fontId="11" fillId="3" borderId="19" xfId="0" applyFont="1" applyFill="1" applyBorder="1" applyAlignment="1">
      <alignment horizontal="center"/>
    </xf>
    <xf numFmtId="0" fontId="11" fillId="3" borderId="3" xfId="0" applyFont="1" applyFill="1" applyBorder="1" applyAlignment="1">
      <alignment horizontal="center"/>
    </xf>
    <xf numFmtId="2" fontId="2" fillId="0" borderId="19" xfId="1" applyNumberFormat="1" applyFont="1" applyBorder="1" applyAlignment="1">
      <alignment horizontal="center" vertical="center"/>
    </xf>
    <xf numFmtId="0" fontId="11" fillId="2" borderId="15"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11" fillId="2" borderId="20" xfId="0" applyNumberFormat="1" applyFont="1" applyFill="1" applyBorder="1" applyAlignment="1">
      <alignment horizontal="center" vertical="center"/>
    </xf>
    <xf numFmtId="0" fontId="2" fillId="0" borderId="15"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20" xfId="0" applyNumberFormat="1" applyFont="1" applyFill="1" applyBorder="1" applyAlignment="1">
      <alignment horizontal="center" vertical="center"/>
    </xf>
    <xf numFmtId="0" fontId="11" fillId="7" borderId="28" xfId="0" applyNumberFormat="1" applyFont="1" applyFill="1" applyBorder="1" applyAlignment="1">
      <alignment horizontal="left" vertical="center"/>
    </xf>
    <xf numFmtId="0" fontId="11" fillId="7" borderId="24" xfId="0" applyNumberFormat="1" applyFont="1" applyFill="1" applyBorder="1" applyAlignment="1">
      <alignment horizontal="left" vertical="center"/>
    </xf>
    <xf numFmtId="0" fontId="11" fillId="0" borderId="28"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3" fillId="0" borderId="28" xfId="0" applyNumberFormat="1" applyFont="1" applyBorder="1" applyAlignment="1">
      <alignment horizontal="center" vertical="center"/>
    </xf>
    <xf numFmtId="0" fontId="3" fillId="0" borderId="3" xfId="0" applyNumberFormat="1" applyFont="1" applyBorder="1" applyAlignment="1">
      <alignment horizontal="center" vertical="center"/>
    </xf>
    <xf numFmtId="2" fontId="2" fillId="2" borderId="2" xfId="1" applyNumberFormat="1" applyFont="1" applyFill="1" applyBorder="1" applyAlignment="1">
      <alignment horizontal="center" vertical="center"/>
    </xf>
    <xf numFmtId="2" fontId="2" fillId="2" borderId="3" xfId="1" applyNumberFormat="1" applyFont="1" applyFill="1" applyBorder="1" applyAlignment="1">
      <alignment horizontal="center" vertical="center"/>
    </xf>
    <xf numFmtId="2" fontId="11" fillId="4" borderId="2" xfId="2" applyNumberFormat="1" applyFont="1" applyFill="1" applyBorder="1" applyAlignment="1">
      <alignment horizontal="center" vertical="center"/>
    </xf>
    <xf numFmtId="2" fontId="11" fillId="4" borderId="3" xfId="2" applyNumberFormat="1" applyFont="1" applyFill="1" applyBorder="1" applyAlignment="1">
      <alignment horizontal="center" vertical="center"/>
    </xf>
    <xf numFmtId="2" fontId="11" fillId="2" borderId="2" xfId="0" applyNumberFormat="1" applyFont="1" applyFill="1" applyBorder="1" applyAlignment="1">
      <alignment horizontal="center" vertical="center"/>
    </xf>
    <xf numFmtId="2" fontId="11" fillId="2" borderId="3" xfId="0" applyNumberFormat="1" applyFont="1" applyFill="1" applyBorder="1" applyAlignment="1">
      <alignment horizontal="center" vertical="center"/>
    </xf>
    <xf numFmtId="2" fontId="2" fillId="2" borderId="16" xfId="0" applyNumberFormat="1" applyFont="1" applyFill="1" applyBorder="1" applyAlignment="1">
      <alignment horizontal="center" vertical="center"/>
    </xf>
    <xf numFmtId="2" fontId="2" fillId="2" borderId="26" xfId="0"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2" fontId="2" fillId="2" borderId="44" xfId="0" applyNumberFormat="1" applyFont="1" applyFill="1" applyBorder="1" applyAlignment="1">
      <alignment horizontal="center" vertical="center"/>
    </xf>
    <xf numFmtId="2" fontId="2" fillId="2" borderId="21" xfId="0" applyNumberFormat="1" applyFont="1" applyFill="1" applyBorder="1" applyAlignment="1">
      <alignment horizontal="center" vertical="center"/>
    </xf>
    <xf numFmtId="2" fontId="2" fillId="2" borderId="27" xfId="0" applyNumberFormat="1" applyFont="1" applyFill="1" applyBorder="1" applyAlignment="1">
      <alignment horizontal="center" vertical="center"/>
    </xf>
    <xf numFmtId="0" fontId="4" fillId="4" borderId="19" xfId="0" applyFont="1" applyFill="1" applyBorder="1" applyAlignment="1">
      <alignment horizontal="left" vertical="center"/>
    </xf>
    <xf numFmtId="0" fontId="4" fillId="4" borderId="24" xfId="0" applyFont="1" applyFill="1" applyBorder="1" applyAlignment="1">
      <alignment horizontal="left" vertical="center"/>
    </xf>
    <xf numFmtId="0" fontId="4" fillId="6" borderId="28" xfId="0" applyFont="1" applyFill="1" applyBorder="1" applyAlignment="1">
      <alignment horizontal="left" vertical="center"/>
    </xf>
    <xf numFmtId="0" fontId="4" fillId="6" borderId="19" xfId="0" applyFont="1" applyFill="1" applyBorder="1" applyAlignment="1">
      <alignment horizontal="left" vertical="center"/>
    </xf>
    <xf numFmtId="0" fontId="4" fillId="6" borderId="3" xfId="0" applyFont="1" applyFill="1" applyBorder="1" applyAlignment="1">
      <alignment horizontal="left" vertical="center"/>
    </xf>
    <xf numFmtId="0" fontId="4" fillId="5" borderId="12" xfId="0" applyFont="1" applyFill="1"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3" xfId="0" applyFont="1" applyFill="1" applyBorder="1" applyAlignment="1">
      <alignment horizontal="left" vertical="center"/>
    </xf>
    <xf numFmtId="0" fontId="4" fillId="5" borderId="31" xfId="0" applyFont="1" applyFill="1" applyBorder="1" applyAlignment="1">
      <alignment horizontal="center" vertical="center"/>
    </xf>
    <xf numFmtId="0" fontId="4" fillId="5"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7" xfId="0" applyFont="1" applyBorder="1" applyAlignment="1">
      <alignment horizontal="center" vertical="top"/>
    </xf>
    <xf numFmtId="0" fontId="11" fillId="0" borderId="0" xfId="0" applyFont="1" applyBorder="1" applyAlignment="1">
      <alignment horizontal="center" vertical="top"/>
    </xf>
    <xf numFmtId="0" fontId="11" fillId="0" borderId="8" xfId="0" applyFont="1" applyBorder="1" applyAlignment="1">
      <alignment horizontal="center" vertical="top"/>
    </xf>
    <xf numFmtId="0" fontId="4" fillId="2" borderId="7" xfId="0" applyFont="1" applyFill="1" applyBorder="1" applyAlignment="1">
      <alignment horizontal="center"/>
    </xf>
    <xf numFmtId="0" fontId="4" fillId="2" borderId="0" xfId="0" applyFont="1" applyFill="1" applyBorder="1" applyAlignment="1">
      <alignment horizontal="center"/>
    </xf>
    <xf numFmtId="0" fontId="4" fillId="2" borderId="8" xfId="0" applyFont="1" applyFill="1" applyBorder="1" applyAlignment="1">
      <alignment horizontal="center"/>
    </xf>
    <xf numFmtId="0" fontId="4" fillId="2" borderId="7" xfId="0" applyFont="1" applyFill="1" applyBorder="1" applyAlignment="1">
      <alignment horizontal="center" vertical="top"/>
    </xf>
    <xf numFmtId="0" fontId="4" fillId="2" borderId="0" xfId="0" applyFont="1" applyFill="1" applyBorder="1" applyAlignment="1">
      <alignment horizontal="center" vertical="top"/>
    </xf>
    <xf numFmtId="0" fontId="4" fillId="2" borderId="8" xfId="0" applyFont="1" applyFill="1" applyBorder="1" applyAlignment="1">
      <alignment horizontal="center" vertical="top"/>
    </xf>
    <xf numFmtId="0" fontId="3" fillId="0" borderId="21"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4" fillId="4" borderId="2" xfId="0" applyFont="1" applyFill="1" applyBorder="1" applyAlignment="1">
      <alignment horizontal="left" vertical="center"/>
    </xf>
    <xf numFmtId="0" fontId="11" fillId="6" borderId="32" xfId="0" applyFont="1" applyFill="1" applyBorder="1" applyAlignment="1">
      <alignment horizontal="left" vertical="center"/>
    </xf>
    <xf numFmtId="0" fontId="11" fillId="6" borderId="22" xfId="0" applyFont="1" applyFill="1" applyBorder="1" applyAlignment="1">
      <alignment horizontal="left" vertical="center"/>
    </xf>
    <xf numFmtId="0" fontId="4" fillId="6" borderId="21" xfId="0" applyFont="1" applyFill="1" applyBorder="1" applyAlignment="1">
      <alignment horizontal="left" vertical="center"/>
    </xf>
    <xf numFmtId="0" fontId="4" fillId="6" borderId="20" xfId="0" applyFont="1" applyFill="1" applyBorder="1" applyAlignment="1">
      <alignment horizontal="left" vertical="center"/>
    </xf>
    <xf numFmtId="0" fontId="4" fillId="6" borderId="27" xfId="0" applyFont="1" applyFill="1" applyBorder="1" applyAlignment="1">
      <alignment horizontal="left" vertical="center"/>
    </xf>
    <xf numFmtId="2" fontId="2" fillId="2" borderId="0" xfId="0" applyNumberFormat="1" applyFont="1" applyFill="1" applyBorder="1" applyAlignment="1">
      <alignment horizontal="center" vertical="center"/>
    </xf>
    <xf numFmtId="2" fontId="2" fillId="2" borderId="8" xfId="0" applyNumberFormat="1" applyFont="1" applyFill="1" applyBorder="1" applyAlignment="1">
      <alignment horizontal="center" vertical="center"/>
    </xf>
    <xf numFmtId="49" fontId="13" fillId="0" borderId="10" xfId="5" applyNumberFormat="1" applyFont="1" applyBorder="1" applyAlignment="1">
      <alignment horizontal="center" vertical="center" wrapText="1"/>
    </xf>
    <xf numFmtId="49" fontId="13" fillId="0" borderId="11" xfId="5" applyNumberFormat="1" applyFont="1" applyBorder="1" applyAlignment="1">
      <alignment horizontal="center" vertical="center" wrapText="1"/>
    </xf>
    <xf numFmtId="0" fontId="4" fillId="6" borderId="12" xfId="0" applyNumberFormat="1" applyFont="1" applyFill="1" applyBorder="1" applyAlignment="1">
      <alignment horizontal="left" vertical="center"/>
    </xf>
    <xf numFmtId="0" fontId="4" fillId="6" borderId="1" xfId="0" applyNumberFormat="1" applyFont="1" applyFill="1" applyBorder="1" applyAlignment="1">
      <alignment horizontal="left" vertical="center"/>
    </xf>
    <xf numFmtId="0" fontId="4" fillId="6" borderId="28" xfId="0" applyNumberFormat="1" applyFont="1" applyFill="1" applyBorder="1" applyAlignment="1">
      <alignment horizontal="left" vertical="center"/>
    </xf>
    <xf numFmtId="0" fontId="4" fillId="6" borderId="19" xfId="0" applyNumberFormat="1" applyFont="1" applyFill="1" applyBorder="1" applyAlignment="1">
      <alignment horizontal="left" vertical="center"/>
    </xf>
    <xf numFmtId="0" fontId="4" fillId="6" borderId="3" xfId="0" applyNumberFormat="1" applyFont="1" applyFill="1" applyBorder="1" applyAlignment="1">
      <alignment horizontal="left" vertical="center"/>
    </xf>
    <xf numFmtId="0" fontId="3" fillId="0" borderId="0" xfId="0" applyFont="1" applyBorder="1" applyAlignment="1">
      <alignment horizontal="center" vertical="center"/>
    </xf>
    <xf numFmtId="0" fontId="11" fillId="3" borderId="2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4" xfId="0" applyFont="1" applyFill="1" applyBorder="1" applyAlignment="1">
      <alignment horizontal="center" vertical="center"/>
    </xf>
    <xf numFmtId="2" fontId="15" fillId="2" borderId="0" xfId="0" applyNumberFormat="1" applyFont="1" applyFill="1" applyBorder="1" applyAlignment="1">
      <alignment horizontal="center" vertical="center"/>
    </xf>
    <xf numFmtId="2" fontId="15" fillId="2" borderId="8" xfId="0" applyNumberFormat="1" applyFont="1" applyFill="1" applyBorder="1" applyAlignment="1">
      <alignment horizontal="center" vertical="center"/>
    </xf>
    <xf numFmtId="2" fontId="15" fillId="0" borderId="0" xfId="0" applyNumberFormat="1" applyFont="1" applyBorder="1" applyAlignment="1">
      <alignment horizontal="left" vertical="center"/>
    </xf>
    <xf numFmtId="2" fontId="15" fillId="0" borderId="8" xfId="0" applyNumberFormat="1" applyFont="1" applyBorder="1" applyAlignment="1">
      <alignment horizontal="left" vertical="center"/>
    </xf>
    <xf numFmtId="0" fontId="4" fillId="6" borderId="12" xfId="0" applyFont="1" applyFill="1" applyBorder="1" applyAlignment="1">
      <alignment horizontal="left" vertical="center"/>
    </xf>
    <xf numFmtId="0" fontId="4" fillId="6" borderId="1" xfId="0" applyFont="1" applyFill="1" applyBorder="1" applyAlignment="1">
      <alignment horizontal="left" vertical="center"/>
    </xf>
  </cellXfs>
  <cellStyles count="16">
    <cellStyle name="Moeda" xfId="1" builtinId="4"/>
    <cellStyle name="Moeda 2" xfId="3" xr:uid="{00000000-0005-0000-0000-000001000000}"/>
    <cellStyle name="Moeda 2 2" xfId="10" xr:uid="{32B7A7B1-F038-44E2-B71D-9D742E83FCE0}"/>
    <cellStyle name="Moeda 3" xfId="6" xr:uid="{00000000-0005-0000-0000-000002000000}"/>
    <cellStyle name="Moeda 4" xfId="8" xr:uid="{4B4C0928-1805-4D9A-97CE-5DCA79ADB0FF}"/>
    <cellStyle name="Normal" xfId="0" builtinId="0"/>
    <cellStyle name="Normal 2" xfId="5" xr:uid="{00000000-0005-0000-0000-000004000000}"/>
    <cellStyle name="Normal 2 21" xfId="14" xr:uid="{C53104C7-610A-4229-9004-1163380C8534}"/>
    <cellStyle name="Porcentagem" xfId="13" builtinId="5"/>
    <cellStyle name="Vírgula" xfId="2" builtinId="3"/>
    <cellStyle name="Vírgula 2" xfId="4" xr:uid="{00000000-0005-0000-0000-000007000000}"/>
    <cellStyle name="Vírgula 2 2" xfId="11" xr:uid="{0FCDC4DB-BD5B-4D2E-A0AF-8B05B5E02D80}"/>
    <cellStyle name="Vírgula 3" xfId="7" xr:uid="{00000000-0005-0000-0000-000008000000}"/>
    <cellStyle name="Vírgula 3 2" xfId="12" xr:uid="{179258CB-261E-4719-A81D-5263A6283A9C}"/>
    <cellStyle name="Vírgula 4" xfId="9" xr:uid="{736F402F-D74B-49FE-BC5E-76307B448416}"/>
    <cellStyle name="Vírgula 5" xfId="15" xr:uid="{264F5944-432F-4F52-8ECD-B18DB83D7354}"/>
  </cellStyles>
  <dxfs count="53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380999</xdr:colOff>
      <xdr:row>0</xdr:row>
      <xdr:rowOff>224868</xdr:rowOff>
    </xdr:from>
    <xdr:ext cx="3844076" cy="1203882"/>
    <xdr:pic>
      <xdr:nvPicPr>
        <xdr:cNvPr id="4" name="Imagem 3">
          <a:extLst>
            <a:ext uri="{FF2B5EF4-FFF2-40B4-BE49-F238E27FC236}">
              <a16:creationId xmlns:a16="http://schemas.microsoft.com/office/drawing/2014/main" id="{041EEDF2-5CE6-46AD-A8D0-8D260E6A1A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320" y="224868"/>
          <a:ext cx="3844076" cy="120388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377825</xdr:colOff>
      <xdr:row>2</xdr:row>
      <xdr:rowOff>13396</xdr:rowOff>
    </xdr:from>
    <xdr:ext cx="3160828" cy="989904"/>
    <xdr:pic>
      <xdr:nvPicPr>
        <xdr:cNvPr id="2" name="Imagem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425" y="407096"/>
          <a:ext cx="3160828" cy="989904"/>
        </a:xfrm>
        <a:prstGeom prst="rect">
          <a:avLst/>
        </a:prstGeom>
      </xdr:spPr>
    </xdr:pic>
    <xdr:clientData/>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05B2D-2B8C-4543-87AB-DA6FE3FB5E0E}">
  <sheetPr>
    <pageSetUpPr fitToPage="1"/>
  </sheetPr>
  <dimension ref="A1:K2343"/>
  <sheetViews>
    <sheetView showGridLines="0" view="pageBreakPreview" zoomScale="70" zoomScaleNormal="70" zoomScaleSheetLayoutView="70" zoomScalePageLayoutView="10" workbookViewId="0">
      <selection activeCell="D15" sqref="D15"/>
    </sheetView>
  </sheetViews>
  <sheetFormatPr defaultColWidth="9.140625" defaultRowHeight="20.100000000000001" customHeight="1" x14ac:dyDescent="0.25"/>
  <cols>
    <col min="1" max="1" width="9.140625" style="23"/>
    <col min="2" max="2" width="9.28515625" style="31" customWidth="1"/>
    <col min="3" max="3" width="23.140625" style="31" customWidth="1"/>
    <col min="4" max="4" width="124.28515625" style="18" customWidth="1"/>
    <col min="5" max="5" width="6.85546875" style="14" bestFit="1" customWidth="1"/>
    <col min="6" max="6" width="31.7109375" style="20" bestFit="1" customWidth="1"/>
    <col min="7" max="7" width="24.85546875" style="20" customWidth="1"/>
    <col min="8" max="8" width="21.7109375" style="151" bestFit="1" customWidth="1"/>
    <col min="9" max="9" width="25.140625" style="23" bestFit="1" customWidth="1"/>
    <col min="10" max="16384" width="9.140625" style="23"/>
  </cols>
  <sheetData>
    <row r="1" spans="1:10" s="21" customFormat="1" ht="20.100000000000001" customHeight="1" x14ac:dyDescent="0.25">
      <c r="A1" s="43"/>
      <c r="B1" s="508" t="s">
        <v>1288</v>
      </c>
      <c r="C1" s="509"/>
      <c r="D1" s="509"/>
      <c r="E1" s="509"/>
      <c r="F1" s="509"/>
      <c r="G1" s="509"/>
      <c r="H1" s="510"/>
      <c r="I1" s="23"/>
      <c r="J1" s="23">
        <v>9</v>
      </c>
    </row>
    <row r="2" spans="1:10" s="21" customFormat="1" ht="20.100000000000001" customHeight="1" x14ac:dyDescent="0.25">
      <c r="A2" s="43"/>
      <c r="B2" s="511" t="s">
        <v>535</v>
      </c>
      <c r="C2" s="512"/>
      <c r="D2" s="512"/>
      <c r="E2" s="512"/>
      <c r="F2" s="512"/>
      <c r="G2" s="512"/>
      <c r="H2" s="513"/>
    </row>
    <row r="3" spans="1:10" s="21" customFormat="1" ht="20.100000000000001" customHeight="1" x14ac:dyDescent="0.25">
      <c r="A3" s="43"/>
      <c r="B3" s="511" t="s">
        <v>124</v>
      </c>
      <c r="C3" s="512"/>
      <c r="D3" s="512"/>
      <c r="E3" s="512"/>
      <c r="F3" s="512"/>
      <c r="G3" s="512"/>
      <c r="H3" s="513"/>
    </row>
    <row r="4" spans="1:10" s="43" customFormat="1" ht="20.100000000000001" customHeight="1" x14ac:dyDescent="0.25">
      <c r="B4" s="375"/>
      <c r="C4" s="239"/>
      <c r="D4" s="512" t="s">
        <v>1260</v>
      </c>
      <c r="E4" s="512"/>
      <c r="F4" s="512"/>
      <c r="G4" s="512"/>
      <c r="H4" s="376"/>
    </row>
    <row r="5" spans="1:10" s="21" customFormat="1" ht="20.100000000000001" customHeight="1" x14ac:dyDescent="0.25">
      <c r="A5" s="43"/>
      <c r="B5" s="511" t="s">
        <v>473</v>
      </c>
      <c r="C5" s="512"/>
      <c r="D5" s="512"/>
      <c r="E5" s="512"/>
      <c r="F5" s="512"/>
      <c r="G5" s="512"/>
      <c r="H5" s="513"/>
      <c r="I5" s="251"/>
      <c r="J5" s="234"/>
    </row>
    <row r="6" spans="1:10" s="43" customFormat="1" ht="20.100000000000001" customHeight="1" x14ac:dyDescent="0.25">
      <c r="B6" s="511" t="s">
        <v>474</v>
      </c>
      <c r="C6" s="512"/>
      <c r="D6" s="512"/>
      <c r="E6" s="512"/>
      <c r="F6" s="512"/>
      <c r="G6" s="512"/>
      <c r="H6" s="513"/>
      <c r="I6" s="512"/>
      <c r="J6" s="512"/>
    </row>
    <row r="7" spans="1:10" s="43" customFormat="1" ht="20.100000000000001" customHeight="1" x14ac:dyDescent="0.25">
      <c r="B7" s="345"/>
      <c r="C7" s="327"/>
      <c r="D7" s="512" t="s">
        <v>1272</v>
      </c>
      <c r="E7" s="512"/>
      <c r="F7" s="512"/>
      <c r="G7" s="512"/>
      <c r="H7" s="346"/>
      <c r="I7" s="244"/>
      <c r="J7" s="244"/>
    </row>
    <row r="8" spans="1:10" s="43" customFormat="1" ht="20.100000000000001" customHeight="1" x14ac:dyDescent="0.25">
      <c r="B8" s="526" t="s">
        <v>25</v>
      </c>
      <c r="C8" s="527"/>
      <c r="D8" s="527"/>
      <c r="E8" s="527"/>
      <c r="F8" s="527"/>
      <c r="G8" s="527"/>
      <c r="H8" s="528"/>
    </row>
    <row r="9" spans="1:10" s="65" customFormat="1" ht="20.100000000000001" customHeight="1" x14ac:dyDescent="0.25">
      <c r="B9" s="377" t="s">
        <v>1</v>
      </c>
      <c r="C9" s="233" t="s">
        <v>256</v>
      </c>
      <c r="D9" s="72"/>
      <c r="E9" s="73" t="s">
        <v>3</v>
      </c>
      <c r="F9" s="529" t="s">
        <v>25</v>
      </c>
      <c r="G9" s="530"/>
      <c r="H9" s="531"/>
    </row>
    <row r="10" spans="1:10" s="65" customFormat="1" ht="20.100000000000001" customHeight="1" x14ac:dyDescent="0.25">
      <c r="B10" s="514" t="s">
        <v>38</v>
      </c>
      <c r="C10" s="492"/>
      <c r="D10" s="515"/>
      <c r="E10" s="515"/>
      <c r="F10" s="515"/>
      <c r="G10" s="515"/>
      <c r="H10" s="516"/>
    </row>
    <row r="11" spans="1:10" s="65" customFormat="1" ht="20.100000000000001" customHeight="1" x14ac:dyDescent="0.25">
      <c r="B11" s="378">
        <v>1</v>
      </c>
      <c r="C11" s="233">
        <v>20000</v>
      </c>
      <c r="D11" s="517" t="s">
        <v>56</v>
      </c>
      <c r="E11" s="518"/>
      <c r="F11" s="518"/>
      <c r="G11" s="519"/>
      <c r="H11" s="379" t="s">
        <v>6</v>
      </c>
    </row>
    <row r="12" spans="1:10" s="65" customFormat="1" ht="32.25" customHeight="1" x14ac:dyDescent="0.25">
      <c r="B12" s="380" t="s">
        <v>11</v>
      </c>
      <c r="C12" s="294">
        <v>20101</v>
      </c>
      <c r="D12" s="76" t="s">
        <v>35</v>
      </c>
      <c r="E12" s="75" t="s">
        <v>24</v>
      </c>
      <c r="F12" s="342" t="s">
        <v>39</v>
      </c>
      <c r="G12" s="342" t="s">
        <v>27</v>
      </c>
      <c r="H12" s="381">
        <f>SUM(H13:H16)</f>
        <v>64.719200000000001</v>
      </c>
    </row>
    <row r="13" spans="1:10" s="65" customFormat="1" ht="20.100000000000001" customHeight="1" x14ac:dyDescent="0.25">
      <c r="B13" s="520"/>
      <c r="C13" s="521"/>
      <c r="D13" s="273" t="s">
        <v>118</v>
      </c>
      <c r="E13" s="66" t="s">
        <v>24</v>
      </c>
      <c r="F13" s="343">
        <v>8.06</v>
      </c>
      <c r="G13" s="343">
        <v>6.35</v>
      </c>
      <c r="H13" s="382">
        <f>G13*F13*10%</f>
        <v>5.1181000000000001</v>
      </c>
    </row>
    <row r="14" spans="1:10" s="65" customFormat="1" ht="20.100000000000001" customHeight="1" x14ac:dyDescent="0.25">
      <c r="B14" s="522"/>
      <c r="C14" s="523"/>
      <c r="D14" s="273" t="s">
        <v>119</v>
      </c>
      <c r="E14" s="66" t="s">
        <v>24</v>
      </c>
      <c r="F14" s="343">
        <v>4.47</v>
      </c>
      <c r="G14" s="343">
        <v>6.35</v>
      </c>
      <c r="H14" s="382">
        <f>G14*F14*10%</f>
        <v>2.8384499999999999</v>
      </c>
    </row>
    <row r="15" spans="1:10" s="65" customFormat="1" ht="20.100000000000001" customHeight="1" x14ac:dyDescent="0.25">
      <c r="B15" s="522"/>
      <c r="C15" s="523"/>
      <c r="D15" s="273" t="s">
        <v>122</v>
      </c>
      <c r="E15" s="66" t="s">
        <v>24</v>
      </c>
      <c r="F15" s="343">
        <v>6.35</v>
      </c>
      <c r="G15" s="343">
        <v>7.89</v>
      </c>
      <c r="H15" s="382">
        <f>G15*F15*10%</f>
        <v>5.0101499999999994</v>
      </c>
    </row>
    <row r="16" spans="1:10" s="65" customFormat="1" ht="20.100000000000001" customHeight="1" x14ac:dyDescent="0.25">
      <c r="B16" s="524"/>
      <c r="C16" s="525"/>
      <c r="D16" s="273" t="s">
        <v>121</v>
      </c>
      <c r="E16" s="66" t="s">
        <v>24</v>
      </c>
      <c r="F16" s="343">
        <v>8.15</v>
      </c>
      <c r="G16" s="343">
        <v>6.35</v>
      </c>
      <c r="H16" s="383">
        <f>F16*G16</f>
        <v>51.752499999999998</v>
      </c>
    </row>
    <row r="17" spans="2:8" s="65" customFormat="1" ht="36" customHeight="1" x14ac:dyDescent="0.25">
      <c r="B17" s="384" t="s">
        <v>12</v>
      </c>
      <c r="C17" s="293">
        <v>20102</v>
      </c>
      <c r="D17" s="77" t="s">
        <v>36</v>
      </c>
      <c r="E17" s="330" t="s">
        <v>24</v>
      </c>
      <c r="F17" s="481" t="s">
        <v>257</v>
      </c>
      <c r="G17" s="481"/>
      <c r="H17" s="381">
        <v>32.21</v>
      </c>
    </row>
    <row r="18" spans="2:8" s="65" customFormat="1" ht="20.100000000000001" customHeight="1" x14ac:dyDescent="0.25">
      <c r="B18" s="447"/>
      <c r="C18" s="448"/>
      <c r="D18" s="61" t="s">
        <v>123</v>
      </c>
      <c r="E18" s="66" t="s">
        <v>24</v>
      </c>
      <c r="F18" s="456">
        <v>32.21</v>
      </c>
      <c r="G18" s="456"/>
      <c r="H18" s="385">
        <v>32.21</v>
      </c>
    </row>
    <row r="19" spans="2:8" s="65" customFormat="1" ht="20.100000000000001" customHeight="1" x14ac:dyDescent="0.25">
      <c r="B19" s="386" t="s">
        <v>13</v>
      </c>
      <c r="C19" s="178">
        <v>20103</v>
      </c>
      <c r="D19" s="77" t="s">
        <v>37</v>
      </c>
      <c r="E19" s="330" t="s">
        <v>24</v>
      </c>
      <c r="F19" s="342" t="s">
        <v>26</v>
      </c>
      <c r="G19" s="342" t="s">
        <v>27</v>
      </c>
      <c r="H19" s="387">
        <f>H20</f>
        <v>9.9749999999999996</v>
      </c>
    </row>
    <row r="20" spans="2:8" s="65" customFormat="1" ht="20.100000000000001" customHeight="1" x14ac:dyDescent="0.25">
      <c r="B20" s="447"/>
      <c r="C20" s="448"/>
      <c r="D20" s="61" t="s">
        <v>125</v>
      </c>
      <c r="E20" s="340" t="s">
        <v>24</v>
      </c>
      <c r="F20" s="338">
        <v>5.7</v>
      </c>
      <c r="G20" s="338">
        <v>1.75</v>
      </c>
      <c r="H20" s="385">
        <f>F20*G20</f>
        <v>9.9749999999999996</v>
      </c>
    </row>
    <row r="21" spans="2:8" s="65" customFormat="1" ht="20.100000000000001" customHeight="1" x14ac:dyDescent="0.25">
      <c r="B21" s="380" t="s">
        <v>14</v>
      </c>
      <c r="C21" s="275">
        <v>20106</v>
      </c>
      <c r="D21" s="77" t="s">
        <v>140</v>
      </c>
      <c r="E21" s="330" t="s">
        <v>24</v>
      </c>
      <c r="F21" s="342" t="s">
        <v>26</v>
      </c>
      <c r="G21" s="342" t="s">
        <v>31</v>
      </c>
      <c r="H21" s="387">
        <f>SUM(H22:H49)</f>
        <v>103.04000000000002</v>
      </c>
    </row>
    <row r="22" spans="2:8" s="65" customFormat="1" ht="20.100000000000001" customHeight="1" x14ac:dyDescent="0.25">
      <c r="B22" s="388"/>
      <c r="C22" s="277"/>
      <c r="D22" s="273" t="s">
        <v>219</v>
      </c>
      <c r="E22" s="340" t="s">
        <v>24</v>
      </c>
      <c r="F22" s="338">
        <v>1.5</v>
      </c>
      <c r="G22" s="338">
        <v>2.1</v>
      </c>
      <c r="H22" s="385">
        <f>F22*G22</f>
        <v>3.1500000000000004</v>
      </c>
    </row>
    <row r="23" spans="2:8" s="65" customFormat="1" ht="20.100000000000001" customHeight="1" x14ac:dyDescent="0.25">
      <c r="B23" s="389"/>
      <c r="C23" s="278"/>
      <c r="D23" s="273" t="s">
        <v>220</v>
      </c>
      <c r="E23" s="340" t="s">
        <v>24</v>
      </c>
      <c r="F23" s="338">
        <v>1.5</v>
      </c>
      <c r="G23" s="338">
        <v>2.1</v>
      </c>
      <c r="H23" s="385">
        <f>G23*F23</f>
        <v>3.1500000000000004</v>
      </c>
    </row>
    <row r="24" spans="2:8" s="65" customFormat="1" ht="20.100000000000001" customHeight="1" x14ac:dyDescent="0.25">
      <c r="B24" s="389"/>
      <c r="C24" s="278"/>
      <c r="D24" s="273" t="s">
        <v>221</v>
      </c>
      <c r="E24" s="340" t="s">
        <v>24</v>
      </c>
      <c r="F24" s="338">
        <v>3</v>
      </c>
      <c r="G24" s="338">
        <v>1.4</v>
      </c>
      <c r="H24" s="385">
        <f>4*F24*G24</f>
        <v>16.799999999999997</v>
      </c>
    </row>
    <row r="25" spans="2:8" s="65" customFormat="1" ht="20.100000000000001" customHeight="1" x14ac:dyDescent="0.25">
      <c r="B25" s="389"/>
      <c r="C25" s="278"/>
      <c r="D25" s="273" t="s">
        <v>222</v>
      </c>
      <c r="E25" s="340" t="s">
        <v>24</v>
      </c>
      <c r="F25" s="338">
        <v>3</v>
      </c>
      <c r="G25" s="338">
        <v>0.7</v>
      </c>
      <c r="H25" s="385">
        <f>G25*F25</f>
        <v>2.0999999999999996</v>
      </c>
    </row>
    <row r="26" spans="2:8" s="65" customFormat="1" ht="20.100000000000001" customHeight="1" x14ac:dyDescent="0.25">
      <c r="B26" s="389"/>
      <c r="C26" s="278"/>
      <c r="D26" s="273" t="s">
        <v>223</v>
      </c>
      <c r="E26" s="340" t="s">
        <v>24</v>
      </c>
      <c r="F26" s="338">
        <v>3</v>
      </c>
      <c r="G26" s="338">
        <v>0.7</v>
      </c>
      <c r="H26" s="385">
        <f>G26*F26</f>
        <v>2.0999999999999996</v>
      </c>
    </row>
    <row r="27" spans="2:8" s="65" customFormat="1" ht="20.100000000000001" customHeight="1" x14ac:dyDescent="0.25">
      <c r="B27" s="389"/>
      <c r="C27" s="278"/>
      <c r="D27" s="273" t="s">
        <v>224</v>
      </c>
      <c r="E27" s="340" t="s">
        <v>24</v>
      </c>
      <c r="F27" s="338">
        <v>2</v>
      </c>
      <c r="G27" s="338">
        <v>1.4</v>
      </c>
      <c r="H27" s="385">
        <f>G27*F27*2</f>
        <v>5.6</v>
      </c>
    </row>
    <row r="28" spans="2:8" s="65" customFormat="1" ht="20.100000000000001" customHeight="1" x14ac:dyDescent="0.25">
      <c r="B28" s="389"/>
      <c r="C28" s="278"/>
      <c r="D28" s="273" t="s">
        <v>225</v>
      </c>
      <c r="E28" s="340" t="s">
        <v>24</v>
      </c>
      <c r="F28" s="338">
        <v>3</v>
      </c>
      <c r="G28" s="338">
        <v>1.4</v>
      </c>
      <c r="H28" s="385">
        <f>G28*F28*2</f>
        <v>8.3999999999999986</v>
      </c>
    </row>
    <row r="29" spans="2:8" s="65" customFormat="1" ht="20.100000000000001" customHeight="1" x14ac:dyDescent="0.25">
      <c r="B29" s="389"/>
      <c r="C29" s="278"/>
      <c r="D29" s="273" t="s">
        <v>226</v>
      </c>
      <c r="E29" s="340" t="s">
        <v>24</v>
      </c>
      <c r="F29" s="338">
        <v>0.8</v>
      </c>
      <c r="G29" s="338">
        <v>2.1</v>
      </c>
      <c r="H29" s="385">
        <f>G29*F29*4</f>
        <v>6.7200000000000006</v>
      </c>
    </row>
    <row r="30" spans="2:8" s="65" customFormat="1" ht="20.100000000000001" customHeight="1" x14ac:dyDescent="0.25">
      <c r="B30" s="389"/>
      <c r="C30" s="278"/>
      <c r="D30" s="273" t="s">
        <v>126</v>
      </c>
      <c r="E30" s="340" t="s">
        <v>24</v>
      </c>
      <c r="F30" s="338">
        <v>1</v>
      </c>
      <c r="G30" s="338">
        <v>2.1</v>
      </c>
      <c r="H30" s="385">
        <f t="shared" ref="H30:H36" si="0">G30*F30</f>
        <v>2.1</v>
      </c>
    </row>
    <row r="31" spans="2:8" s="65" customFormat="1" ht="20.100000000000001" customHeight="1" x14ac:dyDescent="0.25">
      <c r="B31" s="389"/>
      <c r="C31" s="278"/>
      <c r="D31" s="273" t="s">
        <v>230</v>
      </c>
      <c r="E31" s="340" t="s">
        <v>24</v>
      </c>
      <c r="F31" s="338">
        <v>3</v>
      </c>
      <c r="G31" s="338">
        <v>1.4</v>
      </c>
      <c r="H31" s="385">
        <f t="shared" si="0"/>
        <v>4.1999999999999993</v>
      </c>
    </row>
    <row r="32" spans="2:8" s="65" customFormat="1" ht="20.100000000000001" customHeight="1" x14ac:dyDescent="0.25">
      <c r="B32" s="389"/>
      <c r="C32" s="278"/>
      <c r="D32" s="273" t="s">
        <v>227</v>
      </c>
      <c r="E32" s="340" t="s">
        <v>24</v>
      </c>
      <c r="F32" s="338">
        <v>0.8</v>
      </c>
      <c r="G32" s="338">
        <v>2.1</v>
      </c>
      <c r="H32" s="385">
        <f t="shared" si="0"/>
        <v>1.6800000000000002</v>
      </c>
    </row>
    <row r="33" spans="2:8" s="65" customFormat="1" ht="20.100000000000001" customHeight="1" x14ac:dyDescent="0.25">
      <c r="B33" s="389"/>
      <c r="C33" s="278"/>
      <c r="D33" s="273" t="s">
        <v>229</v>
      </c>
      <c r="E33" s="340" t="s">
        <v>24</v>
      </c>
      <c r="F33" s="338">
        <v>3</v>
      </c>
      <c r="G33" s="338">
        <v>1.4</v>
      </c>
      <c r="H33" s="385">
        <f t="shared" si="0"/>
        <v>4.1999999999999993</v>
      </c>
    </row>
    <row r="34" spans="2:8" s="65" customFormat="1" ht="20.100000000000001" customHeight="1" x14ac:dyDescent="0.25">
      <c r="B34" s="389"/>
      <c r="C34" s="278"/>
      <c r="D34" s="273" t="s">
        <v>228</v>
      </c>
      <c r="E34" s="340" t="s">
        <v>24</v>
      </c>
      <c r="F34" s="338">
        <v>0.8</v>
      </c>
      <c r="G34" s="338">
        <v>2.1</v>
      </c>
      <c r="H34" s="385">
        <f t="shared" si="0"/>
        <v>1.6800000000000002</v>
      </c>
    </row>
    <row r="35" spans="2:8" s="65" customFormat="1" ht="20.100000000000001" customHeight="1" x14ac:dyDescent="0.25">
      <c r="B35" s="389"/>
      <c r="C35" s="278"/>
      <c r="D35" s="273" t="s">
        <v>232</v>
      </c>
      <c r="E35" s="340" t="s">
        <v>24</v>
      </c>
      <c r="F35" s="338">
        <v>3</v>
      </c>
      <c r="G35" s="338">
        <v>1.4</v>
      </c>
      <c r="H35" s="385">
        <f t="shared" si="0"/>
        <v>4.1999999999999993</v>
      </c>
    </row>
    <row r="36" spans="2:8" s="65" customFormat="1" ht="20.100000000000001" customHeight="1" x14ac:dyDescent="0.25">
      <c r="B36" s="389"/>
      <c r="C36" s="278"/>
      <c r="D36" s="273" t="s">
        <v>231</v>
      </c>
      <c r="E36" s="340" t="s">
        <v>24</v>
      </c>
      <c r="F36" s="338">
        <v>0.9</v>
      </c>
      <c r="G36" s="338">
        <v>2.1</v>
      </c>
      <c r="H36" s="385">
        <f t="shared" si="0"/>
        <v>1.8900000000000001</v>
      </c>
    </row>
    <row r="37" spans="2:8" s="65" customFormat="1" ht="20.100000000000001" customHeight="1" x14ac:dyDescent="0.25">
      <c r="B37" s="389"/>
      <c r="C37" s="278"/>
      <c r="D37" s="273" t="s">
        <v>127</v>
      </c>
      <c r="E37" s="340" t="s">
        <v>24</v>
      </c>
      <c r="F37" s="338">
        <v>1</v>
      </c>
      <c r="G37" s="338">
        <v>2.1</v>
      </c>
      <c r="H37" s="385">
        <f>G37*F37*3</f>
        <v>6.3000000000000007</v>
      </c>
    </row>
    <row r="38" spans="2:8" s="65" customFormat="1" ht="20.100000000000001" customHeight="1" x14ac:dyDescent="0.25">
      <c r="B38" s="389"/>
      <c r="C38" s="278"/>
      <c r="D38" s="273" t="s">
        <v>233</v>
      </c>
      <c r="E38" s="340" t="s">
        <v>24</v>
      </c>
      <c r="F38" s="338">
        <v>2</v>
      </c>
      <c r="G38" s="338">
        <v>1.4</v>
      </c>
      <c r="H38" s="385">
        <f>G38*F38*2</f>
        <v>5.6</v>
      </c>
    </row>
    <row r="39" spans="2:8" s="65" customFormat="1" ht="20.100000000000001" customHeight="1" x14ac:dyDescent="0.25">
      <c r="B39" s="389"/>
      <c r="C39" s="278"/>
      <c r="D39" s="273" t="s">
        <v>234</v>
      </c>
      <c r="E39" s="340" t="s">
        <v>24</v>
      </c>
      <c r="F39" s="338">
        <v>2</v>
      </c>
      <c r="G39" s="338">
        <v>0.7</v>
      </c>
      <c r="H39" s="385">
        <f>G39*F39</f>
        <v>1.4</v>
      </c>
    </row>
    <row r="40" spans="2:8" s="65" customFormat="1" ht="20.100000000000001" customHeight="1" x14ac:dyDescent="0.25">
      <c r="B40" s="389"/>
      <c r="C40" s="278"/>
      <c r="D40" s="273" t="s">
        <v>235</v>
      </c>
      <c r="E40" s="340" t="s">
        <v>24</v>
      </c>
      <c r="F40" s="338">
        <v>0.8</v>
      </c>
      <c r="G40" s="338">
        <v>2.1</v>
      </c>
      <c r="H40" s="385">
        <f>G40*F40*3</f>
        <v>5.0400000000000009</v>
      </c>
    </row>
    <row r="41" spans="2:8" s="65" customFormat="1" ht="20.100000000000001" customHeight="1" x14ac:dyDescent="0.25">
      <c r="B41" s="389"/>
      <c r="C41" s="278"/>
      <c r="D41" s="273" t="s">
        <v>236</v>
      </c>
      <c r="E41" s="340" t="s">
        <v>24</v>
      </c>
      <c r="F41" s="338">
        <v>2</v>
      </c>
      <c r="G41" s="338">
        <v>0.7</v>
      </c>
      <c r="H41" s="385">
        <f>G41*F41</f>
        <v>1.4</v>
      </c>
    </row>
    <row r="42" spans="2:8" s="65" customFormat="1" ht="20.100000000000001" customHeight="1" x14ac:dyDescent="0.25">
      <c r="B42" s="390"/>
      <c r="C42" s="279"/>
      <c r="D42" s="273" t="s">
        <v>237</v>
      </c>
      <c r="E42" s="340" t="s">
        <v>24</v>
      </c>
      <c r="F42" s="338">
        <v>3</v>
      </c>
      <c r="G42" s="338">
        <v>1.4</v>
      </c>
      <c r="H42" s="385">
        <f>G42*F42</f>
        <v>4.1999999999999993</v>
      </c>
    </row>
    <row r="43" spans="2:8" s="65" customFormat="1" ht="20.100000000000001" customHeight="1" x14ac:dyDescent="0.25">
      <c r="B43" s="388"/>
      <c r="C43" s="277"/>
      <c r="D43" s="273" t="s">
        <v>238</v>
      </c>
      <c r="E43" s="340" t="s">
        <v>24</v>
      </c>
      <c r="F43" s="338">
        <v>0.6</v>
      </c>
      <c r="G43" s="338">
        <v>0.7</v>
      </c>
      <c r="H43" s="385">
        <f>G43*F43*2</f>
        <v>0.84</v>
      </c>
    </row>
    <row r="44" spans="2:8" s="65" customFormat="1" ht="20.100000000000001" customHeight="1" x14ac:dyDescent="0.25">
      <c r="B44" s="389"/>
      <c r="C44" s="278"/>
      <c r="D44" s="273" t="s">
        <v>134</v>
      </c>
      <c r="E44" s="340" t="s">
        <v>24</v>
      </c>
      <c r="F44" s="338">
        <v>1</v>
      </c>
      <c r="G44" s="338">
        <v>2.1</v>
      </c>
      <c r="H44" s="385">
        <f t="shared" ref="H44:H53" si="1">G44*F44</f>
        <v>2.1</v>
      </c>
    </row>
    <row r="45" spans="2:8" s="65" customFormat="1" ht="20.100000000000001" customHeight="1" x14ac:dyDescent="0.25">
      <c r="B45" s="389"/>
      <c r="C45" s="278"/>
      <c r="D45" s="273" t="s">
        <v>239</v>
      </c>
      <c r="E45" s="340" t="s">
        <v>24</v>
      </c>
      <c r="F45" s="338">
        <v>0.8</v>
      </c>
      <c r="G45" s="338">
        <v>2.1</v>
      </c>
      <c r="H45" s="385">
        <f t="shared" si="1"/>
        <v>1.6800000000000002</v>
      </c>
    </row>
    <row r="46" spans="2:8" s="65" customFormat="1" ht="20.100000000000001" customHeight="1" x14ac:dyDescent="0.25">
      <c r="B46" s="389"/>
      <c r="C46" s="278"/>
      <c r="D46" s="273" t="s">
        <v>240</v>
      </c>
      <c r="E46" s="340" t="s">
        <v>24</v>
      </c>
      <c r="F46" s="338">
        <v>2</v>
      </c>
      <c r="G46" s="338">
        <v>0.7</v>
      </c>
      <c r="H46" s="385">
        <f t="shared" si="1"/>
        <v>1.4</v>
      </c>
    </row>
    <row r="47" spans="2:8" s="65" customFormat="1" ht="20.100000000000001" customHeight="1" x14ac:dyDescent="0.25">
      <c r="B47" s="389"/>
      <c r="C47" s="278"/>
      <c r="D47" s="273" t="s">
        <v>241</v>
      </c>
      <c r="E47" s="340" t="s">
        <v>24</v>
      </c>
      <c r="F47" s="338">
        <v>2.5</v>
      </c>
      <c r="G47" s="338">
        <v>0.7</v>
      </c>
      <c r="H47" s="385">
        <f t="shared" si="1"/>
        <v>1.75</v>
      </c>
    </row>
    <row r="48" spans="2:8" s="65" customFormat="1" ht="20.100000000000001" customHeight="1" x14ac:dyDescent="0.25">
      <c r="B48" s="389"/>
      <c r="C48" s="278"/>
      <c r="D48" s="273" t="s">
        <v>242</v>
      </c>
      <c r="E48" s="340" t="s">
        <v>24</v>
      </c>
      <c r="F48" s="338">
        <v>0.8</v>
      </c>
      <c r="G48" s="338">
        <v>2.1</v>
      </c>
      <c r="H48" s="385">
        <f t="shared" si="1"/>
        <v>1.6800000000000002</v>
      </c>
    </row>
    <row r="49" spans="2:8" s="65" customFormat="1" ht="20.100000000000001" customHeight="1" x14ac:dyDescent="0.25">
      <c r="B49" s="389"/>
      <c r="C49" s="278"/>
      <c r="D49" s="273" t="s">
        <v>243</v>
      </c>
      <c r="E49" s="340" t="s">
        <v>24</v>
      </c>
      <c r="F49" s="338">
        <v>0.8</v>
      </c>
      <c r="G49" s="338">
        <v>2.1</v>
      </c>
      <c r="H49" s="385">
        <f t="shared" si="1"/>
        <v>1.6800000000000002</v>
      </c>
    </row>
    <row r="50" spans="2:8" s="65" customFormat="1" ht="20.100000000000001" customHeight="1" x14ac:dyDescent="0.25">
      <c r="B50" s="389"/>
      <c r="C50" s="278"/>
      <c r="D50" s="274" t="s">
        <v>135</v>
      </c>
      <c r="E50" s="340" t="s">
        <v>24</v>
      </c>
      <c r="F50" s="338">
        <v>0.7</v>
      </c>
      <c r="G50" s="338">
        <v>2.1</v>
      </c>
      <c r="H50" s="385">
        <f t="shared" si="1"/>
        <v>1.47</v>
      </c>
    </row>
    <row r="51" spans="2:8" s="65" customFormat="1" ht="20.100000000000001" customHeight="1" x14ac:dyDescent="0.25">
      <c r="B51" s="389"/>
      <c r="C51" s="278"/>
      <c r="D51" s="274" t="s">
        <v>245</v>
      </c>
      <c r="E51" s="340" t="s">
        <v>24</v>
      </c>
      <c r="F51" s="338">
        <v>1.1499999999999999</v>
      </c>
      <c r="G51" s="338">
        <v>2.1</v>
      </c>
      <c r="H51" s="385">
        <f t="shared" si="1"/>
        <v>2.415</v>
      </c>
    </row>
    <row r="52" spans="2:8" s="65" customFormat="1" ht="20.100000000000001" customHeight="1" x14ac:dyDescent="0.25">
      <c r="B52" s="389"/>
      <c r="C52" s="278"/>
      <c r="D52" s="274" t="s">
        <v>244</v>
      </c>
      <c r="E52" s="340" t="s">
        <v>24</v>
      </c>
      <c r="F52" s="338">
        <v>2.2999999999999998</v>
      </c>
      <c r="G52" s="338">
        <v>2.1</v>
      </c>
      <c r="H52" s="385">
        <f t="shared" si="1"/>
        <v>4.83</v>
      </c>
    </row>
    <row r="53" spans="2:8" s="65" customFormat="1" ht="20.100000000000001" customHeight="1" x14ac:dyDescent="0.25">
      <c r="B53" s="390"/>
      <c r="C53" s="279"/>
      <c r="D53" s="274" t="s">
        <v>246</v>
      </c>
      <c r="E53" s="340" t="s">
        <v>24</v>
      </c>
      <c r="F53" s="338">
        <v>1.1000000000000001</v>
      </c>
      <c r="G53" s="338">
        <v>2.1</v>
      </c>
      <c r="H53" s="385">
        <f t="shared" si="1"/>
        <v>2.3100000000000005</v>
      </c>
    </row>
    <row r="54" spans="2:8" s="65" customFormat="1" ht="20.100000000000001" customHeight="1" x14ac:dyDescent="0.25">
      <c r="B54" s="384" t="s">
        <v>15</v>
      </c>
      <c r="C54" s="276">
        <v>20109</v>
      </c>
      <c r="D54" s="77" t="s">
        <v>139</v>
      </c>
      <c r="E54" s="75" t="s">
        <v>24</v>
      </c>
      <c r="F54" s="342" t="s">
        <v>26</v>
      </c>
      <c r="G54" s="342" t="s">
        <v>27</v>
      </c>
      <c r="H54" s="381">
        <f>SUM(H55:H70)</f>
        <v>987.36999999999989</v>
      </c>
    </row>
    <row r="55" spans="2:8" s="65" customFormat="1" ht="20.100000000000001" customHeight="1" x14ac:dyDescent="0.25">
      <c r="B55" s="447"/>
      <c r="C55" s="448"/>
      <c r="D55" s="61" t="s">
        <v>128</v>
      </c>
      <c r="E55" s="340" t="s">
        <v>24</v>
      </c>
      <c r="F55" s="338">
        <v>8.09</v>
      </c>
      <c r="G55" s="338">
        <v>6</v>
      </c>
      <c r="H55" s="385">
        <f t="shared" ref="H55:H68" si="2">G55*F55</f>
        <v>48.54</v>
      </c>
    </row>
    <row r="56" spans="2:8" s="65" customFormat="1" ht="20.100000000000001" customHeight="1" x14ac:dyDescent="0.25">
      <c r="B56" s="447"/>
      <c r="C56" s="448"/>
      <c r="D56" s="61" t="s">
        <v>129</v>
      </c>
      <c r="E56" s="340" t="s">
        <v>24</v>
      </c>
      <c r="F56" s="338">
        <v>6.3</v>
      </c>
      <c r="G56" s="338">
        <v>6</v>
      </c>
      <c r="H56" s="385">
        <f t="shared" si="2"/>
        <v>37.799999999999997</v>
      </c>
    </row>
    <row r="57" spans="2:8" s="65" customFormat="1" ht="20.100000000000001" customHeight="1" x14ac:dyDescent="0.25">
      <c r="B57" s="447"/>
      <c r="C57" s="448"/>
      <c r="D57" s="61" t="s">
        <v>120</v>
      </c>
      <c r="E57" s="340" t="s">
        <v>24</v>
      </c>
      <c r="F57" s="338">
        <v>6.24</v>
      </c>
      <c r="G57" s="338">
        <v>6</v>
      </c>
      <c r="H57" s="385">
        <f t="shared" si="2"/>
        <v>37.44</v>
      </c>
    </row>
    <row r="58" spans="2:8" s="65" customFormat="1" ht="20.100000000000001" customHeight="1" x14ac:dyDescent="0.25">
      <c r="B58" s="447"/>
      <c r="C58" s="448"/>
      <c r="D58" s="61" t="s">
        <v>136</v>
      </c>
      <c r="E58" s="340" t="s">
        <v>24</v>
      </c>
      <c r="F58" s="338">
        <v>3.33</v>
      </c>
      <c r="G58" s="338">
        <v>6</v>
      </c>
      <c r="H58" s="385">
        <f t="shared" si="2"/>
        <v>19.98</v>
      </c>
    </row>
    <row r="59" spans="2:8" s="65" customFormat="1" ht="20.100000000000001" customHeight="1" x14ac:dyDescent="0.25">
      <c r="B59" s="447"/>
      <c r="C59" s="448"/>
      <c r="D59" s="61" t="s">
        <v>130</v>
      </c>
      <c r="E59" s="340" t="s">
        <v>24</v>
      </c>
      <c r="F59" s="338">
        <v>4</v>
      </c>
      <c r="G59" s="338">
        <v>6</v>
      </c>
      <c r="H59" s="385">
        <f t="shared" si="2"/>
        <v>24</v>
      </c>
    </row>
    <row r="60" spans="2:8" s="65" customFormat="1" ht="20.100000000000001" customHeight="1" x14ac:dyDescent="0.25">
      <c r="B60" s="447"/>
      <c r="C60" s="448"/>
      <c r="D60" s="61" t="s">
        <v>131</v>
      </c>
      <c r="E60" s="340" t="s">
        <v>24</v>
      </c>
      <c r="F60" s="338">
        <v>4.0999999999999996</v>
      </c>
      <c r="G60" s="338">
        <v>6</v>
      </c>
      <c r="H60" s="385">
        <f t="shared" si="2"/>
        <v>24.599999999999998</v>
      </c>
    </row>
    <row r="61" spans="2:8" s="65" customFormat="1" ht="20.100000000000001" customHeight="1" x14ac:dyDescent="0.25">
      <c r="B61" s="447"/>
      <c r="C61" s="448"/>
      <c r="D61" s="61" t="s">
        <v>137</v>
      </c>
      <c r="E61" s="340" t="s">
        <v>24</v>
      </c>
      <c r="F61" s="338">
        <v>5.67</v>
      </c>
      <c r="G61" s="338">
        <v>6</v>
      </c>
      <c r="H61" s="385">
        <f t="shared" si="2"/>
        <v>34.019999999999996</v>
      </c>
    </row>
    <row r="62" spans="2:8" s="65" customFormat="1" ht="20.100000000000001" customHeight="1" x14ac:dyDescent="0.25">
      <c r="B62" s="447"/>
      <c r="C62" s="448"/>
      <c r="D62" s="61" t="s">
        <v>132</v>
      </c>
      <c r="E62" s="340" t="s">
        <v>24</v>
      </c>
      <c r="F62" s="338">
        <v>6</v>
      </c>
      <c r="G62" s="338">
        <v>7.4</v>
      </c>
      <c r="H62" s="385">
        <f t="shared" si="2"/>
        <v>44.400000000000006</v>
      </c>
    </row>
    <row r="63" spans="2:8" s="65" customFormat="1" ht="20.100000000000001" customHeight="1" x14ac:dyDescent="0.25">
      <c r="B63" s="447"/>
      <c r="C63" s="448"/>
      <c r="D63" s="61" t="s">
        <v>153</v>
      </c>
      <c r="E63" s="340" t="s">
        <v>24</v>
      </c>
      <c r="F63" s="338">
        <v>35</v>
      </c>
      <c r="G63" s="338">
        <v>1.8</v>
      </c>
      <c r="H63" s="385">
        <f t="shared" si="2"/>
        <v>63</v>
      </c>
    </row>
    <row r="64" spans="2:8" s="65" customFormat="1" ht="20.100000000000001" customHeight="1" x14ac:dyDescent="0.25">
      <c r="B64" s="447"/>
      <c r="C64" s="448"/>
      <c r="D64" s="61" t="s">
        <v>154</v>
      </c>
      <c r="E64" s="340" t="s">
        <v>24</v>
      </c>
      <c r="F64" s="338">
        <v>16.5</v>
      </c>
      <c r="G64" s="338">
        <v>0.6</v>
      </c>
      <c r="H64" s="385">
        <f t="shared" si="2"/>
        <v>9.9</v>
      </c>
    </row>
    <row r="65" spans="2:8" s="65" customFormat="1" ht="20.100000000000001" customHeight="1" x14ac:dyDescent="0.25">
      <c r="B65" s="447"/>
      <c r="C65" s="448"/>
      <c r="D65" s="61" t="s">
        <v>155</v>
      </c>
      <c r="E65" s="340" t="s">
        <v>24</v>
      </c>
      <c r="F65" s="338">
        <v>15</v>
      </c>
      <c r="G65" s="338">
        <v>0.6</v>
      </c>
      <c r="H65" s="385">
        <f t="shared" si="2"/>
        <v>9</v>
      </c>
    </row>
    <row r="66" spans="2:8" s="65" customFormat="1" ht="20.100000000000001" customHeight="1" x14ac:dyDescent="0.25">
      <c r="B66" s="447"/>
      <c r="C66" s="448"/>
      <c r="D66" s="61" t="s">
        <v>156</v>
      </c>
      <c r="E66" s="340" t="s">
        <v>24</v>
      </c>
      <c r="F66" s="338">
        <v>20.3</v>
      </c>
      <c r="G66" s="338">
        <v>0.7</v>
      </c>
      <c r="H66" s="385">
        <f t="shared" si="2"/>
        <v>14.209999999999999</v>
      </c>
    </row>
    <row r="67" spans="2:8" s="65" customFormat="1" ht="20.100000000000001" customHeight="1" x14ac:dyDescent="0.25">
      <c r="B67" s="447"/>
      <c r="C67" s="448"/>
      <c r="D67" s="61" t="s">
        <v>157</v>
      </c>
      <c r="E67" s="340" t="s">
        <v>24</v>
      </c>
      <c r="F67" s="338">
        <v>34.9</v>
      </c>
      <c r="G67" s="338">
        <v>0.7</v>
      </c>
      <c r="H67" s="385">
        <f t="shared" si="2"/>
        <v>24.429999999999996</v>
      </c>
    </row>
    <row r="68" spans="2:8" s="65" customFormat="1" ht="20.100000000000001" customHeight="1" x14ac:dyDescent="0.25">
      <c r="B68" s="447"/>
      <c r="C68" s="448"/>
      <c r="D68" s="61" t="s">
        <v>158</v>
      </c>
      <c r="E68" s="340" t="s">
        <v>24</v>
      </c>
      <c r="F68" s="338">
        <v>15.5</v>
      </c>
      <c r="G68" s="338">
        <v>2.1</v>
      </c>
      <c r="H68" s="385">
        <f t="shared" si="2"/>
        <v>32.550000000000004</v>
      </c>
    </row>
    <row r="69" spans="2:8" s="65" customFormat="1" ht="20.100000000000001" customHeight="1" x14ac:dyDescent="0.25">
      <c r="B69" s="447"/>
      <c r="C69" s="448"/>
      <c r="D69" s="61" t="s">
        <v>159</v>
      </c>
      <c r="E69" s="340" t="s">
        <v>24</v>
      </c>
      <c r="F69" s="456">
        <v>475</v>
      </c>
      <c r="G69" s="456"/>
      <c r="H69" s="385">
        <v>475</v>
      </c>
    </row>
    <row r="70" spans="2:8" s="65" customFormat="1" ht="20.100000000000001" customHeight="1" x14ac:dyDescent="0.25">
      <c r="B70" s="447"/>
      <c r="C70" s="448"/>
      <c r="D70" s="61" t="s">
        <v>133</v>
      </c>
      <c r="E70" s="340" t="s">
        <v>24</v>
      </c>
      <c r="F70" s="338">
        <v>6</v>
      </c>
      <c r="G70" s="338">
        <v>14.75</v>
      </c>
      <c r="H70" s="385">
        <f>G70*F70</f>
        <v>88.5</v>
      </c>
    </row>
    <row r="71" spans="2:8" s="65" customFormat="1" ht="20.100000000000001" customHeight="1" x14ac:dyDescent="0.25">
      <c r="B71" s="386" t="s">
        <v>20</v>
      </c>
      <c r="C71" s="163">
        <v>20111</v>
      </c>
      <c r="D71" s="77" t="s">
        <v>138</v>
      </c>
      <c r="E71" s="75" t="s">
        <v>24</v>
      </c>
      <c r="F71" s="342" t="s">
        <v>26</v>
      </c>
      <c r="G71" s="342" t="s">
        <v>258</v>
      </c>
      <c r="H71" s="381">
        <f>SUM(H72:H89)</f>
        <v>554.30130000000008</v>
      </c>
    </row>
    <row r="72" spans="2:8" s="65" customFormat="1" ht="20.100000000000001" customHeight="1" x14ac:dyDescent="0.25">
      <c r="B72" s="465"/>
      <c r="C72" s="466"/>
      <c r="D72" s="61" t="s">
        <v>141</v>
      </c>
      <c r="E72" s="340" t="s">
        <v>24</v>
      </c>
      <c r="F72" s="338">
        <v>7.55</v>
      </c>
      <c r="G72" s="338">
        <v>6.35</v>
      </c>
      <c r="H72" s="385">
        <f t="shared" ref="H72:H89" si="3">G72*F72</f>
        <v>47.942499999999995</v>
      </c>
    </row>
    <row r="73" spans="2:8" s="65" customFormat="1" ht="20.100000000000001" customHeight="1" x14ac:dyDescent="0.25">
      <c r="B73" s="473"/>
      <c r="C73" s="474"/>
      <c r="D73" s="61" t="s">
        <v>121</v>
      </c>
      <c r="E73" s="340" t="s">
        <v>24</v>
      </c>
      <c r="F73" s="338">
        <v>8</v>
      </c>
      <c r="G73" s="338">
        <v>6.05</v>
      </c>
      <c r="H73" s="385">
        <f t="shared" si="3"/>
        <v>48.4</v>
      </c>
    </row>
    <row r="74" spans="2:8" s="65" customFormat="1" ht="20.100000000000001" customHeight="1" x14ac:dyDescent="0.25">
      <c r="B74" s="473"/>
      <c r="C74" s="474"/>
      <c r="D74" s="61" t="s">
        <v>142</v>
      </c>
      <c r="E74" s="340" t="s">
        <v>24</v>
      </c>
      <c r="F74" s="338">
        <v>8</v>
      </c>
      <c r="G74" s="338">
        <v>6.05</v>
      </c>
      <c r="H74" s="385">
        <f t="shared" si="3"/>
        <v>48.4</v>
      </c>
    </row>
    <row r="75" spans="2:8" s="65" customFormat="1" ht="20.100000000000001" customHeight="1" x14ac:dyDescent="0.25">
      <c r="B75" s="473"/>
      <c r="C75" s="474"/>
      <c r="D75" s="61" t="s">
        <v>143</v>
      </c>
      <c r="E75" s="340" t="s">
        <v>24</v>
      </c>
      <c r="F75" s="338">
        <v>4</v>
      </c>
      <c r="G75" s="338">
        <v>4.8499999999999996</v>
      </c>
      <c r="H75" s="385">
        <f t="shared" si="3"/>
        <v>19.399999999999999</v>
      </c>
    </row>
    <row r="76" spans="2:8" s="65" customFormat="1" ht="20.100000000000001" customHeight="1" x14ac:dyDescent="0.25">
      <c r="B76" s="473"/>
      <c r="C76" s="474"/>
      <c r="D76" s="61" t="s">
        <v>144</v>
      </c>
      <c r="E76" s="340" t="s">
        <v>24</v>
      </c>
      <c r="F76" s="338">
        <v>4</v>
      </c>
      <c r="G76" s="338">
        <v>4.8499999999999996</v>
      </c>
      <c r="H76" s="385">
        <f t="shared" si="3"/>
        <v>19.399999999999999</v>
      </c>
    </row>
    <row r="77" spans="2:8" s="65" customFormat="1" ht="20.100000000000001" customHeight="1" x14ac:dyDescent="0.25">
      <c r="B77" s="473"/>
      <c r="C77" s="474"/>
      <c r="D77" s="61" t="s">
        <v>145</v>
      </c>
      <c r="E77" s="340" t="s">
        <v>24</v>
      </c>
      <c r="F77" s="338">
        <v>8.4</v>
      </c>
      <c r="G77" s="338">
        <v>6.35</v>
      </c>
      <c r="H77" s="385">
        <f t="shared" si="3"/>
        <v>53.339999999999996</v>
      </c>
    </row>
    <row r="78" spans="2:8" s="65" customFormat="1" ht="20.100000000000001" customHeight="1" x14ac:dyDescent="0.25">
      <c r="B78" s="473"/>
      <c r="C78" s="474"/>
      <c r="D78" s="61" t="s">
        <v>146</v>
      </c>
      <c r="E78" s="340" t="s">
        <v>24</v>
      </c>
      <c r="F78" s="338">
        <v>8.08</v>
      </c>
      <c r="G78" s="338">
        <v>6.35</v>
      </c>
      <c r="H78" s="385">
        <f t="shared" si="3"/>
        <v>51.308</v>
      </c>
    </row>
    <row r="79" spans="2:8" s="65" customFormat="1" ht="20.100000000000001" customHeight="1" x14ac:dyDescent="0.25">
      <c r="B79" s="473"/>
      <c r="C79" s="474"/>
      <c r="D79" s="61" t="s">
        <v>160</v>
      </c>
      <c r="E79" s="340" t="s">
        <v>24</v>
      </c>
      <c r="F79" s="338">
        <v>7.95</v>
      </c>
      <c r="G79" s="338">
        <v>6.9</v>
      </c>
      <c r="H79" s="385">
        <f t="shared" si="3"/>
        <v>54.855000000000004</v>
      </c>
    </row>
    <row r="80" spans="2:8" s="65" customFormat="1" ht="20.100000000000001" customHeight="1" x14ac:dyDescent="0.25">
      <c r="B80" s="473"/>
      <c r="C80" s="474"/>
      <c r="D80" s="61" t="s">
        <v>147</v>
      </c>
      <c r="E80" s="340" t="s">
        <v>24</v>
      </c>
      <c r="F80" s="338">
        <v>4.1399999999999997</v>
      </c>
      <c r="G80" s="338">
        <v>3.04</v>
      </c>
      <c r="H80" s="385">
        <f t="shared" si="3"/>
        <v>12.585599999999999</v>
      </c>
    </row>
    <row r="81" spans="2:8" s="65" customFormat="1" ht="20.100000000000001" customHeight="1" x14ac:dyDescent="0.25">
      <c r="B81" s="473"/>
      <c r="C81" s="474"/>
      <c r="D81" s="61" t="s">
        <v>148</v>
      </c>
      <c r="E81" s="340" t="s">
        <v>24</v>
      </c>
      <c r="F81" s="338">
        <v>3.04</v>
      </c>
      <c r="G81" s="338">
        <v>2.0299999999999998</v>
      </c>
      <c r="H81" s="385">
        <f t="shared" si="3"/>
        <v>6.1711999999999998</v>
      </c>
    </row>
    <row r="82" spans="2:8" s="65" customFormat="1" ht="20.100000000000001" customHeight="1" x14ac:dyDescent="0.25">
      <c r="B82" s="473"/>
      <c r="C82" s="474"/>
      <c r="D82" s="61" t="s">
        <v>149</v>
      </c>
      <c r="E82" s="340" t="s">
        <v>24</v>
      </c>
      <c r="F82" s="338">
        <v>3.04</v>
      </c>
      <c r="G82" s="338">
        <v>6.35</v>
      </c>
      <c r="H82" s="385">
        <f t="shared" si="3"/>
        <v>19.303999999999998</v>
      </c>
    </row>
    <row r="83" spans="2:8" s="65" customFormat="1" ht="20.100000000000001" customHeight="1" x14ac:dyDescent="0.25">
      <c r="B83" s="473"/>
      <c r="C83" s="474"/>
      <c r="D83" s="61" t="s">
        <v>150</v>
      </c>
      <c r="E83" s="340" t="s">
        <v>24</v>
      </c>
      <c r="F83" s="338">
        <v>8.6300000000000008</v>
      </c>
      <c r="G83" s="338">
        <v>1.9</v>
      </c>
      <c r="H83" s="385">
        <f t="shared" si="3"/>
        <v>16.397000000000002</v>
      </c>
    </row>
    <row r="84" spans="2:8" s="65" customFormat="1" ht="20.100000000000001" customHeight="1" x14ac:dyDescent="0.25">
      <c r="B84" s="473"/>
      <c r="C84" s="474"/>
      <c r="D84" s="61" t="s">
        <v>151</v>
      </c>
      <c r="E84" s="340" t="s">
        <v>24</v>
      </c>
      <c r="F84" s="338">
        <f>16.14+6.5</f>
        <v>22.64</v>
      </c>
      <c r="G84" s="338">
        <v>1.9</v>
      </c>
      <c r="H84" s="385">
        <f t="shared" si="3"/>
        <v>43.015999999999998</v>
      </c>
    </row>
    <row r="85" spans="2:8" s="65" customFormat="1" ht="20.100000000000001" customHeight="1" x14ac:dyDescent="0.25">
      <c r="B85" s="467"/>
      <c r="C85" s="468"/>
      <c r="D85" s="61" t="s">
        <v>162</v>
      </c>
      <c r="E85" s="340" t="s">
        <v>24</v>
      </c>
      <c r="F85" s="338">
        <v>16.5</v>
      </c>
      <c r="G85" s="338">
        <v>1.9</v>
      </c>
      <c r="H85" s="385">
        <f t="shared" si="3"/>
        <v>31.349999999999998</v>
      </c>
    </row>
    <row r="86" spans="2:8" s="65" customFormat="1" ht="20.100000000000001" customHeight="1" x14ac:dyDescent="0.25">
      <c r="B86" s="465"/>
      <c r="C86" s="466"/>
      <c r="D86" s="61" t="s">
        <v>161</v>
      </c>
      <c r="E86" s="340" t="s">
        <v>24</v>
      </c>
      <c r="F86" s="338">
        <v>8.32</v>
      </c>
      <c r="G86" s="338">
        <v>1.9</v>
      </c>
      <c r="H86" s="385">
        <f t="shared" si="3"/>
        <v>15.808</v>
      </c>
    </row>
    <row r="87" spans="2:8" s="65" customFormat="1" ht="20.100000000000001" customHeight="1" x14ac:dyDescent="0.25">
      <c r="B87" s="473"/>
      <c r="C87" s="474"/>
      <c r="D87" s="61" t="s">
        <v>163</v>
      </c>
      <c r="E87" s="340" t="s">
        <v>24</v>
      </c>
      <c r="F87" s="338">
        <v>2.98</v>
      </c>
      <c r="G87" s="338">
        <v>3.2</v>
      </c>
      <c r="H87" s="385">
        <f t="shared" si="3"/>
        <v>9.5359999999999996</v>
      </c>
    </row>
    <row r="88" spans="2:8" s="65" customFormat="1" ht="20.100000000000001" customHeight="1" x14ac:dyDescent="0.25">
      <c r="B88" s="473"/>
      <c r="C88" s="474"/>
      <c r="D88" s="61" t="s">
        <v>164</v>
      </c>
      <c r="E88" s="340" t="s">
        <v>24</v>
      </c>
      <c r="F88" s="338">
        <v>2.98</v>
      </c>
      <c r="G88" s="338">
        <v>3.2</v>
      </c>
      <c r="H88" s="385">
        <f t="shared" si="3"/>
        <v>9.5359999999999996</v>
      </c>
    </row>
    <row r="89" spans="2:8" s="65" customFormat="1" ht="20.100000000000001" customHeight="1" x14ac:dyDescent="0.25">
      <c r="B89" s="467"/>
      <c r="C89" s="468"/>
      <c r="D89" s="61" t="s">
        <v>152</v>
      </c>
      <c r="E89" s="340" t="s">
        <v>24</v>
      </c>
      <c r="F89" s="338">
        <v>3.2</v>
      </c>
      <c r="G89" s="338">
        <v>14.86</v>
      </c>
      <c r="H89" s="385">
        <f t="shared" si="3"/>
        <v>47.552</v>
      </c>
    </row>
    <row r="90" spans="2:8" s="65" customFormat="1" ht="20.100000000000001" customHeight="1" x14ac:dyDescent="0.25">
      <c r="B90" s="386" t="s">
        <v>46</v>
      </c>
      <c r="C90" s="163">
        <v>20115</v>
      </c>
      <c r="D90" s="77" t="s">
        <v>165</v>
      </c>
      <c r="E90" s="75" t="s">
        <v>24</v>
      </c>
      <c r="F90" s="342" t="s">
        <v>26</v>
      </c>
      <c r="G90" s="342" t="s">
        <v>259</v>
      </c>
      <c r="H90" s="387">
        <f>SUM(H91:H111)</f>
        <v>313.36999999999989</v>
      </c>
    </row>
    <row r="91" spans="2:8" s="65" customFormat="1" ht="20.100000000000001" customHeight="1" x14ac:dyDescent="0.25">
      <c r="B91" s="447"/>
      <c r="C91" s="448"/>
      <c r="D91" s="61" t="s">
        <v>166</v>
      </c>
      <c r="E91" s="339" t="s">
        <v>24</v>
      </c>
      <c r="F91" s="338">
        <f>13.12*2</f>
        <v>26.24</v>
      </c>
      <c r="G91" s="338">
        <v>1.5</v>
      </c>
      <c r="H91" s="385">
        <f>G91*F91</f>
        <v>39.36</v>
      </c>
    </row>
    <row r="92" spans="2:8" s="65" customFormat="1" ht="20.100000000000001" customHeight="1" x14ac:dyDescent="0.25">
      <c r="B92" s="447"/>
      <c r="C92" s="448"/>
      <c r="D92" s="61" t="s">
        <v>167</v>
      </c>
      <c r="E92" s="339" t="s">
        <v>24</v>
      </c>
      <c r="F92" s="338">
        <f>2*11.6</f>
        <v>23.2</v>
      </c>
      <c r="G92" s="338">
        <v>1.5</v>
      </c>
      <c r="H92" s="385">
        <f>G92*F92</f>
        <v>34.799999999999997</v>
      </c>
    </row>
    <row r="93" spans="2:8" s="65" customFormat="1" ht="20.100000000000001" customHeight="1" x14ac:dyDescent="0.25">
      <c r="B93" s="447"/>
      <c r="C93" s="448"/>
      <c r="D93" s="61" t="s">
        <v>168</v>
      </c>
      <c r="E93" s="339" t="s">
        <v>24</v>
      </c>
      <c r="F93" s="338">
        <v>12.15</v>
      </c>
      <c r="G93" s="338">
        <v>1.5</v>
      </c>
      <c r="H93" s="385">
        <f>G93*F93</f>
        <v>18.225000000000001</v>
      </c>
    </row>
    <row r="94" spans="2:8" s="65" customFormat="1" ht="20.100000000000001" customHeight="1" x14ac:dyDescent="0.25">
      <c r="B94" s="447"/>
      <c r="C94" s="448"/>
      <c r="D94" s="61" t="s">
        <v>169</v>
      </c>
      <c r="E94" s="339" t="s">
        <v>24</v>
      </c>
      <c r="F94" s="338">
        <v>26.7</v>
      </c>
      <c r="G94" s="338">
        <v>1.4</v>
      </c>
      <c r="H94" s="385">
        <f>G94*F94</f>
        <v>37.379999999999995</v>
      </c>
    </row>
    <row r="95" spans="2:8" s="65" customFormat="1" ht="20.100000000000001" customHeight="1" x14ac:dyDescent="0.25">
      <c r="B95" s="447"/>
      <c r="C95" s="448"/>
      <c r="D95" s="61" t="s">
        <v>254</v>
      </c>
      <c r="E95" s="339" t="s">
        <v>24</v>
      </c>
      <c r="F95" s="338">
        <v>2.1</v>
      </c>
      <c r="G95" s="338">
        <v>0.8</v>
      </c>
      <c r="H95" s="385">
        <f>-G95*F95*3</f>
        <v>-5.0400000000000009</v>
      </c>
    </row>
    <row r="96" spans="2:8" s="65" customFormat="1" ht="20.100000000000001" customHeight="1" x14ac:dyDescent="0.25">
      <c r="B96" s="447"/>
      <c r="C96" s="448"/>
      <c r="D96" s="61" t="s">
        <v>253</v>
      </c>
      <c r="E96" s="339" t="s">
        <v>24</v>
      </c>
      <c r="F96" s="338">
        <v>6</v>
      </c>
      <c r="G96" s="338">
        <v>0.7</v>
      </c>
      <c r="H96" s="385">
        <f>-G96*F96*2</f>
        <v>-8.3999999999999986</v>
      </c>
    </row>
    <row r="97" spans="2:11" s="65" customFormat="1" ht="20.100000000000001" customHeight="1" x14ac:dyDescent="0.25">
      <c r="B97" s="447"/>
      <c r="C97" s="448"/>
      <c r="D97" s="61" t="s">
        <v>193</v>
      </c>
      <c r="E97" s="339" t="s">
        <v>24</v>
      </c>
      <c r="F97" s="338">
        <f>2.6+1.65+1.65+3.4+4+0.95+2.85+2.9</f>
        <v>20</v>
      </c>
      <c r="G97" s="338">
        <v>1.4</v>
      </c>
      <c r="H97" s="385">
        <f>G97*F97</f>
        <v>28</v>
      </c>
    </row>
    <row r="98" spans="2:11" s="65" customFormat="1" ht="20.100000000000001" customHeight="1" x14ac:dyDescent="0.25">
      <c r="B98" s="447"/>
      <c r="C98" s="448"/>
      <c r="D98" s="61" t="s">
        <v>194</v>
      </c>
      <c r="E98" s="339" t="s">
        <v>24</v>
      </c>
      <c r="F98" s="338">
        <v>20</v>
      </c>
      <c r="G98" s="338">
        <v>1.4</v>
      </c>
      <c r="H98" s="385">
        <f>G98*F98</f>
        <v>28</v>
      </c>
    </row>
    <row r="99" spans="2:11" s="65" customFormat="1" ht="20.100000000000001" customHeight="1" x14ac:dyDescent="0.25">
      <c r="B99" s="447"/>
      <c r="C99" s="448"/>
      <c r="D99" s="61" t="s">
        <v>247</v>
      </c>
      <c r="E99" s="339" t="s">
        <v>24</v>
      </c>
      <c r="F99" s="338">
        <v>6.35</v>
      </c>
      <c r="G99" s="338">
        <v>3</v>
      </c>
      <c r="H99" s="385">
        <f>G99*F99</f>
        <v>19.049999999999997</v>
      </c>
    </row>
    <row r="100" spans="2:11" s="65" customFormat="1" ht="20.100000000000001" customHeight="1" x14ac:dyDescent="0.25">
      <c r="B100" s="447"/>
      <c r="C100" s="448"/>
      <c r="D100" s="61" t="s">
        <v>251</v>
      </c>
      <c r="E100" s="339" t="s">
        <v>24</v>
      </c>
      <c r="F100" s="338">
        <v>0.7</v>
      </c>
      <c r="G100" s="338">
        <v>2.1</v>
      </c>
      <c r="H100" s="385">
        <f>-G100*F100</f>
        <v>-1.47</v>
      </c>
    </row>
    <row r="101" spans="2:11" s="65" customFormat="1" ht="20.100000000000001" customHeight="1" x14ac:dyDescent="0.25">
      <c r="B101" s="447"/>
      <c r="C101" s="448"/>
      <c r="D101" s="61" t="s">
        <v>252</v>
      </c>
      <c r="E101" s="339" t="s">
        <v>24</v>
      </c>
      <c r="F101" s="338">
        <v>1.9</v>
      </c>
      <c r="G101" s="338">
        <v>0.75</v>
      </c>
      <c r="H101" s="385">
        <f>-G101*F101</f>
        <v>-1.4249999999999998</v>
      </c>
    </row>
    <row r="102" spans="2:11" s="65" customFormat="1" ht="20.100000000000001" customHeight="1" x14ac:dyDescent="0.25">
      <c r="B102" s="447"/>
      <c r="C102" s="448"/>
      <c r="D102" s="61" t="s">
        <v>205</v>
      </c>
      <c r="E102" s="339" t="s">
        <v>24</v>
      </c>
      <c r="F102" s="337">
        <v>36.49</v>
      </c>
      <c r="G102" s="337">
        <v>3</v>
      </c>
      <c r="H102" s="391">
        <f>G102*F102</f>
        <v>109.47</v>
      </c>
    </row>
    <row r="103" spans="2:11" s="65" customFormat="1" ht="20.100000000000001" customHeight="1" x14ac:dyDescent="0.25">
      <c r="B103" s="447"/>
      <c r="C103" s="448"/>
      <c r="D103" s="61" t="s">
        <v>400</v>
      </c>
      <c r="E103" s="339" t="s">
        <v>24</v>
      </c>
      <c r="F103" s="337">
        <v>0.8</v>
      </c>
      <c r="G103" s="337">
        <v>2.1</v>
      </c>
      <c r="H103" s="391">
        <f>-4*G103*F103</f>
        <v>-6.7200000000000006</v>
      </c>
    </row>
    <row r="104" spans="2:11" s="65" customFormat="1" ht="20.100000000000001" customHeight="1" x14ac:dyDescent="0.25">
      <c r="B104" s="447"/>
      <c r="C104" s="448"/>
      <c r="D104" s="61" t="s">
        <v>401</v>
      </c>
      <c r="E104" s="339" t="s">
        <v>24</v>
      </c>
      <c r="F104" s="337">
        <v>1</v>
      </c>
      <c r="G104" s="337">
        <v>2.1</v>
      </c>
      <c r="H104" s="391">
        <f>-G104*F104</f>
        <v>-2.1</v>
      </c>
    </row>
    <row r="105" spans="2:11" s="65" customFormat="1" ht="20.100000000000001" customHeight="1" x14ac:dyDescent="0.25">
      <c r="B105" s="447"/>
      <c r="C105" s="448"/>
      <c r="D105" s="61" t="s">
        <v>403</v>
      </c>
      <c r="E105" s="339" t="s">
        <v>24</v>
      </c>
      <c r="F105" s="337">
        <v>2</v>
      </c>
      <c r="G105" s="337">
        <v>1.4</v>
      </c>
      <c r="H105" s="391">
        <f>-G105*F105</f>
        <v>-2.8</v>
      </c>
    </row>
    <row r="106" spans="2:11" s="65" customFormat="1" ht="20.100000000000001" customHeight="1" x14ac:dyDescent="0.25">
      <c r="B106" s="447"/>
      <c r="C106" s="448"/>
      <c r="D106" s="61" t="s">
        <v>402</v>
      </c>
      <c r="E106" s="339" t="s">
        <v>24</v>
      </c>
      <c r="F106" s="337">
        <v>2.4</v>
      </c>
      <c r="G106" s="337">
        <v>1.4</v>
      </c>
      <c r="H106" s="391">
        <f>-2*G106*F106</f>
        <v>-6.72</v>
      </c>
    </row>
    <row r="107" spans="2:11" s="137" customFormat="1" ht="20.100000000000001" customHeight="1" x14ac:dyDescent="0.25">
      <c r="B107" s="447"/>
      <c r="C107" s="448"/>
      <c r="D107" s="161" t="s">
        <v>927</v>
      </c>
      <c r="E107" s="344" t="s">
        <v>24</v>
      </c>
      <c r="F107" s="235">
        <v>0.6</v>
      </c>
      <c r="G107" s="235">
        <v>1.1000000000000001</v>
      </c>
      <c r="H107" s="392">
        <f>-G107*F107</f>
        <v>-0.66</v>
      </c>
    </row>
    <row r="108" spans="2:11" s="65" customFormat="1" ht="20.100000000000001" customHeight="1" x14ac:dyDescent="0.25">
      <c r="B108" s="447"/>
      <c r="C108" s="448"/>
      <c r="D108" s="61" t="s">
        <v>312</v>
      </c>
      <c r="E108" s="339" t="s">
        <v>24</v>
      </c>
      <c r="F108" s="337">
        <f>(3.1+3.11)*2</f>
        <v>12.42</v>
      </c>
      <c r="G108" s="337">
        <v>3</v>
      </c>
      <c r="H108" s="391">
        <f>G108*F108</f>
        <v>37.26</v>
      </c>
      <c r="I108" s="69"/>
      <c r="J108" s="69"/>
      <c r="K108" s="69"/>
    </row>
    <row r="109" spans="2:11" s="65" customFormat="1" ht="20.100000000000001" customHeight="1" x14ac:dyDescent="0.25">
      <c r="B109" s="447"/>
      <c r="C109" s="448"/>
      <c r="D109" s="61" t="s">
        <v>404</v>
      </c>
      <c r="E109" s="339" t="s">
        <v>24</v>
      </c>
      <c r="F109" s="337">
        <v>0.8</v>
      </c>
      <c r="G109" s="337">
        <v>2.1</v>
      </c>
      <c r="H109" s="391">
        <f>-G109*F109</f>
        <v>-1.6800000000000002</v>
      </c>
      <c r="I109" s="69"/>
      <c r="J109" s="69"/>
      <c r="K109" s="69"/>
    </row>
    <row r="110" spans="2:11" s="65" customFormat="1" ht="20.100000000000001" customHeight="1" x14ac:dyDescent="0.25">
      <c r="B110" s="447"/>
      <c r="C110" s="448"/>
      <c r="D110" s="61" t="s">
        <v>405</v>
      </c>
      <c r="E110" s="339" t="s">
        <v>24</v>
      </c>
      <c r="F110" s="337">
        <v>1.3</v>
      </c>
      <c r="G110" s="337">
        <v>1.4</v>
      </c>
      <c r="H110" s="391">
        <f>-G110*F110</f>
        <v>-1.8199999999999998</v>
      </c>
      <c r="I110" s="69"/>
      <c r="J110" s="69"/>
      <c r="K110" s="69"/>
    </row>
    <row r="111" spans="2:11" s="137" customFormat="1" ht="20.100000000000001" customHeight="1" x14ac:dyDescent="0.25">
      <c r="B111" s="447"/>
      <c r="C111" s="448"/>
      <c r="D111" s="161" t="s">
        <v>927</v>
      </c>
      <c r="E111" s="344" t="s">
        <v>24</v>
      </c>
      <c r="F111" s="235">
        <v>0.6</v>
      </c>
      <c r="G111" s="235">
        <v>1.1000000000000001</v>
      </c>
      <c r="H111" s="392">
        <f t="shared" ref="H111" si="4">G111*F111</f>
        <v>0.66</v>
      </c>
    </row>
    <row r="112" spans="2:11" s="65" customFormat="1" ht="20.100000000000001" customHeight="1" x14ac:dyDescent="0.25">
      <c r="B112" s="386" t="s">
        <v>77</v>
      </c>
      <c r="C112" s="163">
        <v>20117</v>
      </c>
      <c r="D112" s="77" t="s">
        <v>380</v>
      </c>
      <c r="E112" s="75" t="s">
        <v>24</v>
      </c>
      <c r="F112" s="342" t="s">
        <v>26</v>
      </c>
      <c r="G112" s="342" t="s">
        <v>31</v>
      </c>
      <c r="H112" s="387">
        <f>SUM(H119:H191)+H117+H115+H113</f>
        <v>1081.3579999999999</v>
      </c>
    </row>
    <row r="113" spans="2:8" s="65" customFormat="1" ht="20.100000000000001" customHeight="1" x14ac:dyDescent="0.25">
      <c r="B113" s="388"/>
      <c r="C113" s="277"/>
      <c r="D113" s="165" t="s">
        <v>121</v>
      </c>
      <c r="E113" s="167" t="s">
        <v>24</v>
      </c>
      <c r="F113" s="168" t="s">
        <v>26</v>
      </c>
      <c r="G113" s="168" t="s">
        <v>31</v>
      </c>
      <c r="H113" s="393">
        <f>H114</f>
        <v>48.4</v>
      </c>
    </row>
    <row r="114" spans="2:8" s="65" customFormat="1" ht="20.100000000000001" customHeight="1" x14ac:dyDescent="0.25">
      <c r="B114" s="389"/>
      <c r="C114" s="278"/>
      <c r="D114" s="61" t="s">
        <v>398</v>
      </c>
      <c r="E114" s="340" t="s">
        <v>24</v>
      </c>
      <c r="F114" s="338">
        <v>8</v>
      </c>
      <c r="G114" s="338">
        <v>6.05</v>
      </c>
      <c r="H114" s="385">
        <f t="shared" ref="H114:H116" si="5">G114*F114</f>
        <v>48.4</v>
      </c>
    </row>
    <row r="115" spans="2:8" s="65" customFormat="1" ht="20.100000000000001" customHeight="1" x14ac:dyDescent="0.25">
      <c r="B115" s="389"/>
      <c r="C115" s="278"/>
      <c r="D115" s="165" t="s">
        <v>382</v>
      </c>
      <c r="E115" s="167" t="s">
        <v>24</v>
      </c>
      <c r="F115" s="168" t="s">
        <v>26</v>
      </c>
      <c r="G115" s="168" t="s">
        <v>31</v>
      </c>
      <c r="H115" s="393">
        <f>H116</f>
        <v>4</v>
      </c>
    </row>
    <row r="116" spans="2:8" s="65" customFormat="1" ht="20.100000000000001" customHeight="1" x14ac:dyDescent="0.25">
      <c r="B116" s="389"/>
      <c r="C116" s="278"/>
      <c r="D116" s="61" t="s">
        <v>398</v>
      </c>
      <c r="E116" s="340" t="s">
        <v>24</v>
      </c>
      <c r="F116" s="338">
        <v>2</v>
      </c>
      <c r="G116" s="338">
        <v>2</v>
      </c>
      <c r="H116" s="385">
        <f t="shared" si="5"/>
        <v>4</v>
      </c>
    </row>
    <row r="117" spans="2:8" s="65" customFormat="1" ht="20.100000000000001" customHeight="1" x14ac:dyDescent="0.25">
      <c r="B117" s="389"/>
      <c r="C117" s="278"/>
      <c r="D117" s="165" t="s">
        <v>397</v>
      </c>
      <c r="E117" s="167" t="s">
        <v>24</v>
      </c>
      <c r="F117" s="168" t="s">
        <v>26</v>
      </c>
      <c r="G117" s="168" t="s">
        <v>31</v>
      </c>
      <c r="H117" s="393">
        <f>H118</f>
        <v>7.0350000000000001</v>
      </c>
    </row>
    <row r="118" spans="2:8" s="65" customFormat="1" ht="20.100000000000001" customHeight="1" x14ac:dyDescent="0.25">
      <c r="B118" s="389"/>
      <c r="C118" s="278"/>
      <c r="D118" s="61" t="s">
        <v>394</v>
      </c>
      <c r="E118" s="340" t="s">
        <v>24</v>
      </c>
      <c r="F118" s="338">
        <v>3.35</v>
      </c>
      <c r="G118" s="338">
        <v>2.1</v>
      </c>
      <c r="H118" s="385">
        <f>G118*F118</f>
        <v>7.0350000000000001</v>
      </c>
    </row>
    <row r="119" spans="2:8" s="65" customFormat="1" ht="20.100000000000001" customHeight="1" x14ac:dyDescent="0.25">
      <c r="B119" s="389"/>
      <c r="C119" s="278"/>
      <c r="D119" s="61" t="s">
        <v>765</v>
      </c>
      <c r="E119" s="340" t="s">
        <v>24</v>
      </c>
      <c r="F119" s="331">
        <v>28.58</v>
      </c>
      <c r="G119" s="331">
        <v>3</v>
      </c>
      <c r="H119" s="385">
        <f>G119*F119</f>
        <v>85.74</v>
      </c>
    </row>
    <row r="120" spans="2:8" s="65" customFormat="1" ht="20.100000000000001" customHeight="1" x14ac:dyDescent="0.25">
      <c r="B120" s="389"/>
      <c r="C120" s="278"/>
      <c r="D120" s="61" t="s">
        <v>767</v>
      </c>
      <c r="E120" s="340" t="s">
        <v>24</v>
      </c>
      <c r="F120" s="331">
        <v>1</v>
      </c>
      <c r="G120" s="331">
        <v>2.1</v>
      </c>
      <c r="H120" s="385">
        <f>-G120*F120*2</f>
        <v>-4.2</v>
      </c>
    </row>
    <row r="121" spans="2:8" s="65" customFormat="1" ht="20.100000000000001" customHeight="1" x14ac:dyDescent="0.25">
      <c r="B121" s="389"/>
      <c r="C121" s="278"/>
      <c r="D121" s="61" t="s">
        <v>766</v>
      </c>
      <c r="E121" s="340" t="s">
        <v>24</v>
      </c>
      <c r="F121" s="331">
        <v>1.8</v>
      </c>
      <c r="G121" s="331">
        <v>1.4</v>
      </c>
      <c r="H121" s="385">
        <f>-4*G121*F121</f>
        <v>-10.08</v>
      </c>
    </row>
    <row r="122" spans="2:8" s="65" customFormat="1" ht="20.100000000000001" customHeight="1" x14ac:dyDescent="0.25">
      <c r="B122" s="389"/>
      <c r="C122" s="278"/>
      <c r="D122" s="61" t="s">
        <v>772</v>
      </c>
      <c r="E122" s="340" t="s">
        <v>24</v>
      </c>
      <c r="F122" s="338">
        <v>22.38</v>
      </c>
      <c r="G122" s="338">
        <v>3</v>
      </c>
      <c r="H122" s="385">
        <f>G122*F122</f>
        <v>67.14</v>
      </c>
    </row>
    <row r="123" spans="2:8" s="65" customFormat="1" ht="20.100000000000001" customHeight="1" x14ac:dyDescent="0.25">
      <c r="B123" s="389"/>
      <c r="C123" s="278"/>
      <c r="D123" s="61" t="s">
        <v>773</v>
      </c>
      <c r="E123" s="340" t="s">
        <v>24</v>
      </c>
      <c r="F123" s="331">
        <v>1</v>
      </c>
      <c r="G123" s="338">
        <v>2.1</v>
      </c>
      <c r="H123" s="385">
        <f>-G123*F123</f>
        <v>-2.1</v>
      </c>
    </row>
    <row r="124" spans="2:8" s="65" customFormat="1" ht="20.100000000000001" customHeight="1" x14ac:dyDescent="0.25">
      <c r="B124" s="389"/>
      <c r="C124" s="278"/>
      <c r="D124" s="61" t="s">
        <v>766</v>
      </c>
      <c r="E124" s="340" t="s">
        <v>24</v>
      </c>
      <c r="F124" s="331">
        <v>1.8</v>
      </c>
      <c r="G124" s="338">
        <v>1.4</v>
      </c>
      <c r="H124" s="385">
        <f>-4*G124*F124</f>
        <v>-10.08</v>
      </c>
    </row>
    <row r="125" spans="2:8" s="65" customFormat="1" ht="20.100000000000001" customHeight="1" x14ac:dyDescent="0.25">
      <c r="B125" s="389"/>
      <c r="C125" s="278"/>
      <c r="D125" s="61" t="s">
        <v>776</v>
      </c>
      <c r="E125" s="340" t="s">
        <v>24</v>
      </c>
      <c r="F125" s="338">
        <v>12.86</v>
      </c>
      <c r="G125" s="338">
        <v>3</v>
      </c>
      <c r="H125" s="385">
        <f>G125*F125</f>
        <v>38.58</v>
      </c>
    </row>
    <row r="126" spans="2:8" s="65" customFormat="1" ht="20.100000000000001" customHeight="1" x14ac:dyDescent="0.25">
      <c r="B126" s="389"/>
      <c r="C126" s="278"/>
      <c r="D126" s="61" t="s">
        <v>777</v>
      </c>
      <c r="E126" s="340" t="s">
        <v>24</v>
      </c>
      <c r="F126" s="338">
        <v>1.8</v>
      </c>
      <c r="G126" s="338">
        <v>1.4</v>
      </c>
      <c r="H126" s="385">
        <f>-G126*F126</f>
        <v>-2.52</v>
      </c>
    </row>
    <row r="127" spans="2:8" s="65" customFormat="1" ht="20.100000000000001" customHeight="1" x14ac:dyDescent="0.25">
      <c r="B127" s="389"/>
      <c r="C127" s="278"/>
      <c r="D127" s="61" t="s">
        <v>778</v>
      </c>
      <c r="E127" s="340" t="s">
        <v>24</v>
      </c>
      <c r="F127" s="338">
        <v>1.9</v>
      </c>
      <c r="G127" s="338">
        <v>0.75</v>
      </c>
      <c r="H127" s="385">
        <f>-G127*F127</f>
        <v>-1.4249999999999998</v>
      </c>
    </row>
    <row r="128" spans="2:8" s="65" customFormat="1" ht="20.100000000000001" customHeight="1" x14ac:dyDescent="0.25">
      <c r="B128" s="390"/>
      <c r="C128" s="279"/>
      <c r="D128" s="61" t="s">
        <v>767</v>
      </c>
      <c r="E128" s="340" t="s">
        <v>24</v>
      </c>
      <c r="F128" s="338">
        <v>1</v>
      </c>
      <c r="G128" s="338">
        <v>2.1</v>
      </c>
      <c r="H128" s="385">
        <f>-2*G128*F128</f>
        <v>-4.2</v>
      </c>
    </row>
    <row r="129" spans="2:8" s="65" customFormat="1" ht="20.100000000000001" customHeight="1" x14ac:dyDescent="0.25">
      <c r="B129" s="388"/>
      <c r="C129" s="277"/>
      <c r="D129" s="61" t="s">
        <v>785</v>
      </c>
      <c r="E129" s="340" t="s">
        <v>24</v>
      </c>
      <c r="F129" s="338">
        <f>3.3+3.3+6.2</f>
        <v>12.8</v>
      </c>
      <c r="G129" s="338">
        <v>3</v>
      </c>
      <c r="H129" s="385">
        <f>G129*F129</f>
        <v>38.400000000000006</v>
      </c>
    </row>
    <row r="130" spans="2:8" s="65" customFormat="1" ht="20.100000000000001" customHeight="1" x14ac:dyDescent="0.25">
      <c r="B130" s="389"/>
      <c r="C130" s="278"/>
      <c r="D130" s="61" t="s">
        <v>777</v>
      </c>
      <c r="E130" s="340" t="s">
        <v>24</v>
      </c>
      <c r="F130" s="338">
        <v>1.8</v>
      </c>
      <c r="G130" s="338">
        <v>1.4</v>
      </c>
      <c r="H130" s="385">
        <f>-G130*F130</f>
        <v>-2.52</v>
      </c>
    </row>
    <row r="131" spans="2:8" s="65" customFormat="1" ht="20.100000000000001" customHeight="1" x14ac:dyDescent="0.25">
      <c r="B131" s="389"/>
      <c r="C131" s="278"/>
      <c r="D131" s="61" t="s">
        <v>778</v>
      </c>
      <c r="E131" s="340" t="s">
        <v>24</v>
      </c>
      <c r="F131" s="338">
        <v>1.9</v>
      </c>
      <c r="G131" s="338">
        <v>0.75</v>
      </c>
      <c r="H131" s="385">
        <f>-G131*F131</f>
        <v>-1.4249999999999998</v>
      </c>
    </row>
    <row r="132" spans="2:8" s="65" customFormat="1" ht="20.100000000000001" customHeight="1" x14ac:dyDescent="0.25">
      <c r="B132" s="389"/>
      <c r="C132" s="278"/>
      <c r="D132" s="61" t="s">
        <v>767</v>
      </c>
      <c r="E132" s="340" t="s">
        <v>24</v>
      </c>
      <c r="F132" s="338">
        <v>1</v>
      </c>
      <c r="G132" s="338">
        <v>2.1</v>
      </c>
      <c r="H132" s="385">
        <f>-G132*F132</f>
        <v>-2.1</v>
      </c>
    </row>
    <row r="133" spans="2:8" s="65" customFormat="1" ht="20.100000000000001" customHeight="1" x14ac:dyDescent="0.25">
      <c r="B133" s="389"/>
      <c r="C133" s="278"/>
      <c r="D133" s="61" t="s">
        <v>792</v>
      </c>
      <c r="E133" s="340" t="s">
        <v>24</v>
      </c>
      <c r="F133" s="331">
        <v>24.94</v>
      </c>
      <c r="G133" s="331">
        <v>3</v>
      </c>
      <c r="H133" s="385">
        <f>G133*F133</f>
        <v>74.820000000000007</v>
      </c>
    </row>
    <row r="134" spans="2:8" s="65" customFormat="1" ht="20.100000000000001" customHeight="1" x14ac:dyDescent="0.25">
      <c r="B134" s="389"/>
      <c r="C134" s="278"/>
      <c r="D134" s="61" t="s">
        <v>767</v>
      </c>
      <c r="E134" s="340" t="s">
        <v>24</v>
      </c>
      <c r="F134" s="331">
        <v>1</v>
      </c>
      <c r="G134" s="331">
        <v>2.1</v>
      </c>
      <c r="H134" s="385">
        <f>-G134*F134*2</f>
        <v>-4.2</v>
      </c>
    </row>
    <row r="135" spans="2:8" s="65" customFormat="1" ht="20.100000000000001" customHeight="1" x14ac:dyDescent="0.25">
      <c r="B135" s="389"/>
      <c r="C135" s="278"/>
      <c r="D135" s="61" t="s">
        <v>766</v>
      </c>
      <c r="E135" s="340" t="s">
        <v>24</v>
      </c>
      <c r="F135" s="331">
        <v>1.8</v>
      </c>
      <c r="G135" s="331">
        <v>1.4</v>
      </c>
      <c r="H135" s="385">
        <f>-4*G135*F135</f>
        <v>-10.08</v>
      </c>
    </row>
    <row r="136" spans="2:8" s="65" customFormat="1" ht="20.100000000000001" customHeight="1" x14ac:dyDescent="0.25">
      <c r="B136" s="389"/>
      <c r="C136" s="278"/>
      <c r="D136" s="61" t="s">
        <v>793</v>
      </c>
      <c r="E136" s="340" t="s">
        <v>24</v>
      </c>
      <c r="F136" s="338">
        <v>12.84</v>
      </c>
      <c r="G136" s="338">
        <v>3</v>
      </c>
      <c r="H136" s="385">
        <f>G136*F136</f>
        <v>38.519999999999996</v>
      </c>
    </row>
    <row r="137" spans="2:8" s="65" customFormat="1" ht="20.100000000000001" customHeight="1" x14ac:dyDescent="0.25">
      <c r="B137" s="389"/>
      <c r="C137" s="278"/>
      <c r="D137" s="61" t="s">
        <v>773</v>
      </c>
      <c r="E137" s="340" t="s">
        <v>24</v>
      </c>
      <c r="F137" s="331">
        <v>1</v>
      </c>
      <c r="G137" s="338">
        <v>2.1</v>
      </c>
      <c r="H137" s="385">
        <f>-G137*F137</f>
        <v>-2.1</v>
      </c>
    </row>
    <row r="138" spans="2:8" s="65" customFormat="1" ht="20.100000000000001" customHeight="1" x14ac:dyDescent="0.25">
      <c r="B138" s="389"/>
      <c r="C138" s="278"/>
      <c r="D138" s="61" t="s">
        <v>766</v>
      </c>
      <c r="E138" s="340" t="s">
        <v>24</v>
      </c>
      <c r="F138" s="331">
        <v>1.8</v>
      </c>
      <c r="G138" s="338">
        <v>1.4</v>
      </c>
      <c r="H138" s="385">
        <f>-4*G138*F138</f>
        <v>-10.08</v>
      </c>
    </row>
    <row r="139" spans="2:8" s="65" customFormat="1" ht="20.100000000000001" customHeight="1" x14ac:dyDescent="0.25">
      <c r="B139" s="389"/>
      <c r="C139" s="278"/>
      <c r="D139" s="61" t="s">
        <v>795</v>
      </c>
      <c r="E139" s="340" t="s">
        <v>24</v>
      </c>
      <c r="F139" s="331">
        <v>25.09</v>
      </c>
      <c r="G139" s="331">
        <v>3</v>
      </c>
      <c r="H139" s="385">
        <f>G139*F139</f>
        <v>75.27</v>
      </c>
    </row>
    <row r="140" spans="2:8" s="65" customFormat="1" ht="20.100000000000001" customHeight="1" x14ac:dyDescent="0.25">
      <c r="B140" s="389"/>
      <c r="C140" s="278"/>
      <c r="D140" s="61" t="s">
        <v>767</v>
      </c>
      <c r="E140" s="340" t="s">
        <v>24</v>
      </c>
      <c r="F140" s="331">
        <v>1</v>
      </c>
      <c r="G140" s="331">
        <v>2.1</v>
      </c>
      <c r="H140" s="385">
        <f>-G140*F140*2</f>
        <v>-4.2</v>
      </c>
    </row>
    <row r="141" spans="2:8" s="65" customFormat="1" ht="20.100000000000001" customHeight="1" x14ac:dyDescent="0.25">
      <c r="B141" s="389"/>
      <c r="C141" s="278"/>
      <c r="D141" s="61" t="s">
        <v>766</v>
      </c>
      <c r="E141" s="340" t="s">
        <v>24</v>
      </c>
      <c r="F141" s="331">
        <v>1.8</v>
      </c>
      <c r="G141" s="331">
        <v>1.4</v>
      </c>
      <c r="H141" s="385">
        <f>-4*G141*F141</f>
        <v>-10.08</v>
      </c>
    </row>
    <row r="142" spans="2:8" s="65" customFormat="1" ht="20.100000000000001" customHeight="1" x14ac:dyDescent="0.25">
      <c r="B142" s="389"/>
      <c r="C142" s="278"/>
      <c r="D142" s="61" t="s">
        <v>796</v>
      </c>
      <c r="E142" s="340" t="s">
        <v>24</v>
      </c>
      <c r="F142" s="338">
        <v>12.99</v>
      </c>
      <c r="G142" s="338">
        <v>3</v>
      </c>
      <c r="H142" s="385">
        <f>G142*F142</f>
        <v>38.97</v>
      </c>
    </row>
    <row r="143" spans="2:8" s="65" customFormat="1" ht="20.100000000000001" customHeight="1" x14ac:dyDescent="0.25">
      <c r="B143" s="389"/>
      <c r="C143" s="278"/>
      <c r="D143" s="61" t="s">
        <v>773</v>
      </c>
      <c r="E143" s="340" t="s">
        <v>24</v>
      </c>
      <c r="F143" s="331">
        <v>1</v>
      </c>
      <c r="G143" s="338">
        <v>2.1</v>
      </c>
      <c r="H143" s="385">
        <f>-G143*F143</f>
        <v>-2.1</v>
      </c>
    </row>
    <row r="144" spans="2:8" s="65" customFormat="1" ht="20.100000000000001" customHeight="1" x14ac:dyDescent="0.25">
      <c r="B144" s="389"/>
      <c r="C144" s="278"/>
      <c r="D144" s="61" t="s">
        <v>766</v>
      </c>
      <c r="E144" s="340" t="s">
        <v>24</v>
      </c>
      <c r="F144" s="331">
        <v>1.8</v>
      </c>
      <c r="G144" s="338">
        <v>1.4</v>
      </c>
      <c r="H144" s="385">
        <f>-4*G144*F144</f>
        <v>-10.08</v>
      </c>
    </row>
    <row r="145" spans="2:8" s="65" customFormat="1" ht="20.100000000000001" customHeight="1" x14ac:dyDescent="0.25">
      <c r="B145" s="389"/>
      <c r="C145" s="278"/>
      <c r="D145" s="61" t="s">
        <v>800</v>
      </c>
      <c r="E145" s="340" t="s">
        <v>24</v>
      </c>
      <c r="F145" s="338">
        <f>12.81-9.46</f>
        <v>3.3499999999999996</v>
      </c>
      <c r="G145" s="338">
        <v>3</v>
      </c>
      <c r="H145" s="385">
        <f>G145*F145</f>
        <v>10.049999999999999</v>
      </c>
    </row>
    <row r="146" spans="2:8" s="65" customFormat="1" ht="20.100000000000001" customHeight="1" x14ac:dyDescent="0.25">
      <c r="B146" s="389"/>
      <c r="C146" s="278"/>
      <c r="D146" s="61" t="s">
        <v>773</v>
      </c>
      <c r="E146" s="340" t="s">
        <v>24</v>
      </c>
      <c r="F146" s="331">
        <v>1</v>
      </c>
      <c r="G146" s="338">
        <v>2.1</v>
      </c>
      <c r="H146" s="385">
        <f>-G146*F146</f>
        <v>-2.1</v>
      </c>
    </row>
    <row r="147" spans="2:8" s="65" customFormat="1" ht="20.100000000000001" customHeight="1" x14ac:dyDescent="0.25">
      <c r="B147" s="389"/>
      <c r="C147" s="278"/>
      <c r="D147" s="61" t="s">
        <v>766</v>
      </c>
      <c r="E147" s="340" t="s">
        <v>24</v>
      </c>
      <c r="F147" s="331">
        <v>1.8</v>
      </c>
      <c r="G147" s="338">
        <v>1.4</v>
      </c>
      <c r="H147" s="385">
        <f>-4*G147*F147</f>
        <v>-10.08</v>
      </c>
    </row>
    <row r="148" spans="2:8" s="65" customFormat="1" ht="20.100000000000001" customHeight="1" x14ac:dyDescent="0.25">
      <c r="B148" s="389"/>
      <c r="C148" s="278"/>
      <c r="D148" s="61" t="s">
        <v>802</v>
      </c>
      <c r="E148" s="340" t="s">
        <v>24</v>
      </c>
      <c r="F148" s="331">
        <v>12.99</v>
      </c>
      <c r="G148" s="331">
        <v>3</v>
      </c>
      <c r="H148" s="385">
        <f>F148*G148</f>
        <v>38.97</v>
      </c>
    </row>
    <row r="149" spans="2:8" s="65" customFormat="1" ht="20.100000000000001" customHeight="1" x14ac:dyDescent="0.25">
      <c r="B149" s="389"/>
      <c r="C149" s="278"/>
      <c r="D149" s="61" t="s">
        <v>773</v>
      </c>
      <c r="E149" s="340" t="s">
        <v>24</v>
      </c>
      <c r="F149" s="331">
        <v>1</v>
      </c>
      <c r="G149" s="338">
        <v>2.1</v>
      </c>
      <c r="H149" s="385">
        <f>-G149*F149</f>
        <v>-2.1</v>
      </c>
    </row>
    <row r="150" spans="2:8" s="65" customFormat="1" ht="20.100000000000001" customHeight="1" x14ac:dyDescent="0.25">
      <c r="B150" s="389"/>
      <c r="C150" s="278"/>
      <c r="D150" s="61" t="s">
        <v>766</v>
      </c>
      <c r="E150" s="340" t="s">
        <v>24</v>
      </c>
      <c r="F150" s="331">
        <v>1.8</v>
      </c>
      <c r="G150" s="338">
        <v>1.4</v>
      </c>
      <c r="H150" s="385">
        <f>-4*G150*F150</f>
        <v>-10.08</v>
      </c>
    </row>
    <row r="151" spans="2:8" s="65" customFormat="1" ht="20.100000000000001" customHeight="1" x14ac:dyDescent="0.25">
      <c r="B151" s="389"/>
      <c r="C151" s="278"/>
      <c r="D151" s="61" t="s">
        <v>805</v>
      </c>
      <c r="E151" s="340" t="s">
        <v>24</v>
      </c>
      <c r="F151" s="338">
        <f>-4.25+6.2+6.2+4.015+4.015</f>
        <v>16.18</v>
      </c>
      <c r="G151" s="338">
        <v>3</v>
      </c>
      <c r="H151" s="385">
        <f>G151*F151</f>
        <v>48.54</v>
      </c>
    </row>
    <row r="152" spans="2:8" s="65" customFormat="1" ht="20.100000000000001" customHeight="1" x14ac:dyDescent="0.25">
      <c r="B152" s="389"/>
      <c r="C152" s="278"/>
      <c r="D152" s="61" t="s">
        <v>773</v>
      </c>
      <c r="E152" s="340" t="s">
        <v>24</v>
      </c>
      <c r="F152" s="331">
        <v>1</v>
      </c>
      <c r="G152" s="338">
        <v>2.1</v>
      </c>
      <c r="H152" s="385">
        <f>-G152*F152</f>
        <v>-2.1</v>
      </c>
    </row>
    <row r="153" spans="2:8" s="65" customFormat="1" ht="20.100000000000001" customHeight="1" x14ac:dyDescent="0.25">
      <c r="B153" s="389"/>
      <c r="C153" s="278"/>
      <c r="D153" s="61" t="s">
        <v>806</v>
      </c>
      <c r="E153" s="340" t="s">
        <v>24</v>
      </c>
      <c r="F153" s="331">
        <v>1.8</v>
      </c>
      <c r="G153" s="338">
        <v>1.4</v>
      </c>
      <c r="H153" s="385">
        <f>-2*G153*F153</f>
        <v>-5.04</v>
      </c>
    </row>
    <row r="154" spans="2:8" s="65" customFormat="1" ht="20.100000000000001" customHeight="1" x14ac:dyDescent="0.25">
      <c r="B154" s="389"/>
      <c r="C154" s="278"/>
      <c r="D154" s="61" t="s">
        <v>813</v>
      </c>
      <c r="E154" s="340" t="s">
        <v>24</v>
      </c>
      <c r="F154" s="331">
        <f>7.4+7.4+6+6-(5.6)</f>
        <v>21.200000000000003</v>
      </c>
      <c r="G154" s="331">
        <v>3</v>
      </c>
      <c r="H154" s="385">
        <f>G154*F154</f>
        <v>63.600000000000009</v>
      </c>
    </row>
    <row r="155" spans="2:8" s="65" customFormat="1" ht="20.100000000000001" customHeight="1" x14ac:dyDescent="0.25">
      <c r="B155" s="389"/>
      <c r="C155" s="278"/>
      <c r="D155" s="61" t="s">
        <v>773</v>
      </c>
      <c r="E155" s="340" t="s">
        <v>24</v>
      </c>
      <c r="F155" s="331">
        <v>1</v>
      </c>
      <c r="G155" s="338">
        <v>2.1</v>
      </c>
      <c r="H155" s="385">
        <f>-G155*F155</f>
        <v>-2.1</v>
      </c>
    </row>
    <row r="156" spans="2:8" s="65" customFormat="1" ht="20.100000000000001" customHeight="1" x14ac:dyDescent="0.25">
      <c r="B156" s="389"/>
      <c r="C156" s="278"/>
      <c r="D156" s="61" t="s">
        <v>814</v>
      </c>
      <c r="E156" s="340" t="s">
        <v>24</v>
      </c>
      <c r="F156" s="331">
        <v>2.5</v>
      </c>
      <c r="G156" s="338">
        <v>1.4</v>
      </c>
      <c r="H156" s="385">
        <f>-3*G156*F156</f>
        <v>-10.499999999999998</v>
      </c>
    </row>
    <row r="157" spans="2:8" s="65" customFormat="1" ht="20.100000000000001" customHeight="1" x14ac:dyDescent="0.25">
      <c r="B157" s="389"/>
      <c r="C157" s="278"/>
      <c r="D157" s="61" t="s">
        <v>808</v>
      </c>
      <c r="E157" s="340" t="s">
        <v>24</v>
      </c>
      <c r="F157" s="338">
        <f>1.25+0.15+7.4+0.2+0.2+0.075+6</f>
        <v>15.274999999999999</v>
      </c>
      <c r="G157" s="338">
        <v>3</v>
      </c>
      <c r="H157" s="385">
        <f>G157*F157</f>
        <v>45.824999999999996</v>
      </c>
    </row>
    <row r="158" spans="2:8" s="65" customFormat="1" ht="20.100000000000001" customHeight="1" x14ac:dyDescent="0.25">
      <c r="B158" s="389"/>
      <c r="C158" s="278"/>
      <c r="D158" s="61" t="s">
        <v>773</v>
      </c>
      <c r="E158" s="340" t="s">
        <v>24</v>
      </c>
      <c r="F158" s="331">
        <v>1</v>
      </c>
      <c r="G158" s="338">
        <v>2.1</v>
      </c>
      <c r="H158" s="385">
        <f>-G158*F158</f>
        <v>-2.1</v>
      </c>
    </row>
    <row r="159" spans="2:8" s="65" customFormat="1" ht="20.100000000000001" customHeight="1" x14ac:dyDescent="0.25">
      <c r="B159" s="389"/>
      <c r="C159" s="278"/>
      <c r="D159" s="61" t="s">
        <v>816</v>
      </c>
      <c r="E159" s="340" t="s">
        <v>24</v>
      </c>
      <c r="F159" s="331">
        <v>2.5</v>
      </c>
      <c r="G159" s="338">
        <v>1.4</v>
      </c>
      <c r="H159" s="385">
        <f>-4*G159*F159</f>
        <v>-14</v>
      </c>
    </row>
    <row r="160" spans="2:8" s="65" customFormat="1" ht="20.100000000000001" customHeight="1" x14ac:dyDescent="0.25">
      <c r="B160" s="389"/>
      <c r="C160" s="278"/>
      <c r="D160" s="61" t="s">
        <v>848</v>
      </c>
      <c r="E160" s="340" t="s">
        <v>24</v>
      </c>
      <c r="F160" s="331">
        <f t="shared" ref="F160" si="6">14.75+0.075+0.05+11.2+0.075</f>
        <v>26.15</v>
      </c>
      <c r="G160" s="338">
        <v>3</v>
      </c>
      <c r="H160" s="385">
        <f t="shared" ref="H160" si="7">G160*F160</f>
        <v>78.449999999999989</v>
      </c>
    </row>
    <row r="161" spans="2:8" s="65" customFormat="1" ht="20.100000000000001" customHeight="1" x14ac:dyDescent="0.25">
      <c r="B161" s="389"/>
      <c r="C161" s="278"/>
      <c r="D161" s="61" t="s">
        <v>767</v>
      </c>
      <c r="E161" s="340" t="s">
        <v>24</v>
      </c>
      <c r="F161" s="331">
        <v>1</v>
      </c>
      <c r="G161" s="338">
        <v>2.1</v>
      </c>
      <c r="H161" s="385">
        <f t="shared" ref="H161" si="8">-G161*F161*2</f>
        <v>-4.2</v>
      </c>
    </row>
    <row r="162" spans="2:8" s="65" customFormat="1" ht="20.100000000000001" customHeight="1" x14ac:dyDescent="0.25">
      <c r="B162" s="389"/>
      <c r="C162" s="278"/>
      <c r="D162" s="61" t="s">
        <v>849</v>
      </c>
      <c r="E162" s="340" t="s">
        <v>24</v>
      </c>
      <c r="F162" s="331">
        <v>2.5</v>
      </c>
      <c r="G162" s="338">
        <v>1.4</v>
      </c>
      <c r="H162" s="385">
        <f t="shared" ref="H162" si="9">-6*G162*F162</f>
        <v>-20.999999999999996</v>
      </c>
    </row>
    <row r="163" spans="2:8" s="65" customFormat="1" ht="20.100000000000001" customHeight="1" x14ac:dyDescent="0.25">
      <c r="B163" s="389"/>
      <c r="C163" s="278"/>
      <c r="D163" s="61" t="s">
        <v>859</v>
      </c>
      <c r="E163" s="340" t="s">
        <v>24</v>
      </c>
      <c r="F163" s="331">
        <f>8.14+0.018+0.15+1.46+8.08+0.075</f>
        <v>17.922999999999998</v>
      </c>
      <c r="G163" s="331">
        <v>3</v>
      </c>
      <c r="H163" s="385">
        <f>G163*F163</f>
        <v>53.768999999999991</v>
      </c>
    </row>
    <row r="164" spans="2:8" s="65" customFormat="1" ht="20.100000000000001" customHeight="1" x14ac:dyDescent="0.25">
      <c r="B164" s="389"/>
      <c r="C164" s="278"/>
      <c r="D164" s="61" t="s">
        <v>856</v>
      </c>
      <c r="E164" s="340" t="s">
        <v>24</v>
      </c>
      <c r="F164" s="331">
        <v>1.26</v>
      </c>
      <c r="G164" s="331">
        <v>2.1</v>
      </c>
      <c r="H164" s="385">
        <f>2*-F164*G164</f>
        <v>-5.2920000000000007</v>
      </c>
    </row>
    <row r="165" spans="2:8" s="65" customFormat="1" ht="20.100000000000001" customHeight="1" x14ac:dyDescent="0.25">
      <c r="B165" s="389"/>
      <c r="C165" s="278"/>
      <c r="D165" s="61" t="s">
        <v>857</v>
      </c>
      <c r="E165" s="340" t="s">
        <v>24</v>
      </c>
      <c r="F165" s="331">
        <v>6.8</v>
      </c>
      <c r="G165" s="331">
        <v>0.75</v>
      </c>
      <c r="H165" s="385">
        <f t="shared" ref="H165" si="10">2*-F165*G165</f>
        <v>-10.199999999999999</v>
      </c>
    </row>
    <row r="166" spans="2:8" s="65" customFormat="1" ht="20.100000000000001" customHeight="1" x14ac:dyDescent="0.25">
      <c r="B166" s="389"/>
      <c r="C166" s="278"/>
      <c r="D166" s="61" t="s">
        <v>860</v>
      </c>
      <c r="E166" s="340" t="s">
        <v>24</v>
      </c>
      <c r="F166" s="331">
        <f>8.4+0.09+0.18+0.15+1.46+8.4+0.09</f>
        <v>18.77</v>
      </c>
      <c r="G166" s="331">
        <v>3</v>
      </c>
      <c r="H166" s="385">
        <f t="shared" ref="H166" si="11">G166*F166</f>
        <v>56.31</v>
      </c>
    </row>
    <row r="167" spans="2:8" s="65" customFormat="1" ht="20.100000000000001" customHeight="1" x14ac:dyDescent="0.25">
      <c r="B167" s="389"/>
      <c r="C167" s="278"/>
      <c r="D167" s="61" t="s">
        <v>856</v>
      </c>
      <c r="E167" s="340" t="s">
        <v>24</v>
      </c>
      <c r="F167" s="331">
        <v>1.26</v>
      </c>
      <c r="G167" s="331">
        <v>2.1</v>
      </c>
      <c r="H167" s="385">
        <f>2*-F167*G167</f>
        <v>-5.2920000000000007</v>
      </c>
    </row>
    <row r="168" spans="2:8" s="65" customFormat="1" ht="20.100000000000001" customHeight="1" x14ac:dyDescent="0.25">
      <c r="B168" s="389"/>
      <c r="C168" s="278"/>
      <c r="D168" s="61" t="s">
        <v>857</v>
      </c>
      <c r="E168" s="340" t="s">
        <v>24</v>
      </c>
      <c r="F168" s="331">
        <v>6.8</v>
      </c>
      <c r="G168" s="331">
        <v>0.75</v>
      </c>
      <c r="H168" s="385">
        <f t="shared" ref="H168" si="12">2*-F168*G168</f>
        <v>-10.199999999999999</v>
      </c>
    </row>
    <row r="169" spans="2:8" s="65" customFormat="1" ht="20.100000000000001" customHeight="1" x14ac:dyDescent="0.25">
      <c r="B169" s="389"/>
      <c r="C169" s="278"/>
      <c r="D169" s="61" t="s">
        <v>861</v>
      </c>
      <c r="E169" s="340" t="s">
        <v>24</v>
      </c>
      <c r="F169" s="331">
        <f>0.09+7.59+0.15+0.15+6.35+0.15+0.15+7.59+0.09</f>
        <v>22.31</v>
      </c>
      <c r="G169" s="331">
        <v>3</v>
      </c>
      <c r="H169" s="385">
        <f t="shared" ref="H169" si="13">G169*F169</f>
        <v>66.929999999999993</v>
      </c>
    </row>
    <row r="170" spans="2:8" s="65" customFormat="1" ht="20.100000000000001" customHeight="1" x14ac:dyDescent="0.25">
      <c r="B170" s="389"/>
      <c r="C170" s="278"/>
      <c r="D170" s="61" t="s">
        <v>773</v>
      </c>
      <c r="E170" s="340" t="s">
        <v>24</v>
      </c>
      <c r="F170" s="331">
        <v>1</v>
      </c>
      <c r="G170" s="338">
        <v>2.1</v>
      </c>
      <c r="H170" s="385">
        <f>-G170*F170*1</f>
        <v>-2.1</v>
      </c>
    </row>
    <row r="171" spans="2:8" s="65" customFormat="1" ht="20.100000000000001" customHeight="1" x14ac:dyDescent="0.25">
      <c r="B171" s="390"/>
      <c r="C171" s="279"/>
      <c r="D171" s="61" t="s">
        <v>816</v>
      </c>
      <c r="E171" s="340" t="s">
        <v>24</v>
      </c>
      <c r="F171" s="331">
        <v>2.5</v>
      </c>
      <c r="G171" s="338">
        <v>1.4</v>
      </c>
      <c r="H171" s="385">
        <f>-4*G171*F171</f>
        <v>-14</v>
      </c>
    </row>
    <row r="172" spans="2:8" s="65" customFormat="1" ht="20.100000000000001" customHeight="1" x14ac:dyDescent="0.25">
      <c r="B172" s="388"/>
      <c r="C172" s="277"/>
      <c r="D172" s="61" t="s">
        <v>862</v>
      </c>
      <c r="E172" s="340" t="s">
        <v>24</v>
      </c>
      <c r="F172" s="331">
        <f>1.72+0.18+0.18+2.98+0.18+0.18+1.72</f>
        <v>7.14</v>
      </c>
      <c r="G172" s="331">
        <v>3</v>
      </c>
      <c r="H172" s="385">
        <f>G172*F172</f>
        <v>21.419999999999998</v>
      </c>
    </row>
    <row r="173" spans="2:8" s="65" customFormat="1" ht="20.100000000000001" customHeight="1" x14ac:dyDescent="0.25">
      <c r="B173" s="389"/>
      <c r="C173" s="278"/>
      <c r="D173" s="61" t="s">
        <v>864</v>
      </c>
      <c r="E173" s="340" t="s">
        <v>24</v>
      </c>
      <c r="F173" s="331">
        <v>1.3</v>
      </c>
      <c r="G173" s="338">
        <v>1.4</v>
      </c>
      <c r="H173" s="385">
        <f>-G173*F173*2</f>
        <v>-3.6399999999999997</v>
      </c>
    </row>
    <row r="174" spans="2:8" s="65" customFormat="1" ht="20.100000000000001" customHeight="1" x14ac:dyDescent="0.25">
      <c r="B174" s="389"/>
      <c r="C174" s="278"/>
      <c r="D174" s="61" t="s">
        <v>865</v>
      </c>
      <c r="E174" s="340" t="s">
        <v>24</v>
      </c>
      <c r="F174" s="331">
        <v>2</v>
      </c>
      <c r="G174" s="338">
        <v>1.4</v>
      </c>
      <c r="H174" s="385">
        <f>-G174*F174</f>
        <v>-2.8</v>
      </c>
    </row>
    <row r="175" spans="2:8" s="65" customFormat="1" ht="20.100000000000001" customHeight="1" x14ac:dyDescent="0.25">
      <c r="B175" s="389"/>
      <c r="C175" s="278"/>
      <c r="D175" s="61" t="s">
        <v>863</v>
      </c>
      <c r="E175" s="340" t="s">
        <v>24</v>
      </c>
      <c r="F175" s="331">
        <f>1.46+0.15+2.98+1.46+0.15</f>
        <v>6.2</v>
      </c>
      <c r="G175" s="331">
        <v>3</v>
      </c>
      <c r="H175" s="385">
        <f>G175*F175</f>
        <v>18.600000000000001</v>
      </c>
    </row>
    <row r="176" spans="2:8" s="65" customFormat="1" ht="20.100000000000001" customHeight="1" x14ac:dyDescent="0.25">
      <c r="B176" s="389"/>
      <c r="C176" s="278"/>
      <c r="D176" s="61" t="s">
        <v>865</v>
      </c>
      <c r="E176" s="340" t="s">
        <v>24</v>
      </c>
      <c r="F176" s="331">
        <v>2</v>
      </c>
      <c r="G176" s="338">
        <v>1.4</v>
      </c>
      <c r="H176" s="385">
        <f>-G176*F176</f>
        <v>-2.8</v>
      </c>
    </row>
    <row r="177" spans="2:8" s="65" customFormat="1" ht="20.100000000000001" customHeight="1" x14ac:dyDescent="0.25">
      <c r="B177" s="389"/>
      <c r="C177" s="278"/>
      <c r="D177" s="61" t="s">
        <v>856</v>
      </c>
      <c r="E177" s="340" t="s">
        <v>24</v>
      </c>
      <c r="F177" s="331">
        <v>1.26</v>
      </c>
      <c r="G177" s="331">
        <v>2.1</v>
      </c>
      <c r="H177" s="385">
        <f>2*-F177*G177</f>
        <v>-5.2920000000000007</v>
      </c>
    </row>
    <row r="178" spans="2:8" s="65" customFormat="1" ht="20.100000000000001" customHeight="1" x14ac:dyDescent="0.25">
      <c r="B178" s="389"/>
      <c r="C178" s="278"/>
      <c r="D178" s="61" t="s">
        <v>872</v>
      </c>
      <c r="E178" s="340" t="s">
        <v>24</v>
      </c>
      <c r="F178" s="331">
        <f>8+8+6.05+6.05</f>
        <v>28.1</v>
      </c>
      <c r="G178" s="331">
        <v>3</v>
      </c>
      <c r="H178" s="385">
        <f>G178*F178</f>
        <v>84.300000000000011</v>
      </c>
    </row>
    <row r="179" spans="2:8" s="65" customFormat="1" ht="20.100000000000001" customHeight="1" x14ac:dyDescent="0.25">
      <c r="B179" s="389"/>
      <c r="C179" s="278"/>
      <c r="D179" s="61" t="s">
        <v>773</v>
      </c>
      <c r="E179" s="340" t="s">
        <v>24</v>
      </c>
      <c r="F179" s="331">
        <v>1</v>
      </c>
      <c r="G179" s="338">
        <v>2.1</v>
      </c>
      <c r="H179" s="385">
        <f>-G179*F179*1</f>
        <v>-2.1</v>
      </c>
    </row>
    <row r="180" spans="2:8" s="65" customFormat="1" ht="20.100000000000001" customHeight="1" x14ac:dyDescent="0.25">
      <c r="B180" s="389"/>
      <c r="C180" s="278"/>
      <c r="D180" s="61" t="s">
        <v>816</v>
      </c>
      <c r="E180" s="340" t="s">
        <v>24</v>
      </c>
      <c r="F180" s="331">
        <v>2.5</v>
      </c>
      <c r="G180" s="338">
        <v>1.4</v>
      </c>
      <c r="H180" s="385">
        <f>-4*G180*F180</f>
        <v>-14</v>
      </c>
    </row>
    <row r="181" spans="2:8" s="65" customFormat="1" ht="20.100000000000001" customHeight="1" x14ac:dyDescent="0.25">
      <c r="B181" s="389"/>
      <c r="C181" s="278"/>
      <c r="D181" s="61" t="s">
        <v>873</v>
      </c>
      <c r="E181" s="340" t="s">
        <v>24</v>
      </c>
      <c r="F181" s="331">
        <f>8+6+6+8</f>
        <v>28</v>
      </c>
      <c r="G181" s="331">
        <v>3</v>
      </c>
      <c r="H181" s="385">
        <f>G181*F181</f>
        <v>84</v>
      </c>
    </row>
    <row r="182" spans="2:8" s="65" customFormat="1" ht="20.100000000000001" customHeight="1" x14ac:dyDescent="0.25">
      <c r="B182" s="389"/>
      <c r="C182" s="278"/>
      <c r="D182" s="61" t="s">
        <v>874</v>
      </c>
      <c r="E182" s="340" t="s">
        <v>24</v>
      </c>
      <c r="F182" s="331">
        <v>0.8</v>
      </c>
      <c r="G182" s="338">
        <v>2.1</v>
      </c>
      <c r="H182" s="385">
        <f>-G182*F182*1</f>
        <v>-1.6800000000000002</v>
      </c>
    </row>
    <row r="183" spans="2:8" s="65" customFormat="1" ht="20.100000000000001" customHeight="1" x14ac:dyDescent="0.25">
      <c r="B183" s="389"/>
      <c r="C183" s="278"/>
      <c r="D183" s="61" t="s">
        <v>816</v>
      </c>
      <c r="E183" s="340" t="s">
        <v>24</v>
      </c>
      <c r="F183" s="331">
        <v>2.5</v>
      </c>
      <c r="G183" s="338">
        <v>1.4</v>
      </c>
      <c r="H183" s="385">
        <f>-4*G183*F183</f>
        <v>-14</v>
      </c>
    </row>
    <row r="184" spans="2:8" s="65" customFormat="1" ht="20.100000000000001" customHeight="1" x14ac:dyDescent="0.25">
      <c r="B184" s="389"/>
      <c r="C184" s="278"/>
      <c r="D184" s="61" t="s">
        <v>875</v>
      </c>
      <c r="E184" s="340" t="s">
        <v>24</v>
      </c>
      <c r="F184" s="252">
        <f>0.1+8+0.15+0.15+6.05+0.15+8+0.15+0.1</f>
        <v>22.85</v>
      </c>
      <c r="G184" s="331">
        <v>3</v>
      </c>
      <c r="H184" s="385">
        <f>G184*F187</f>
        <v>68.474999999999994</v>
      </c>
    </row>
    <row r="185" spans="2:8" s="65" customFormat="1" ht="20.100000000000001" customHeight="1" x14ac:dyDescent="0.25">
      <c r="B185" s="389"/>
      <c r="C185" s="278"/>
      <c r="D185" s="61" t="s">
        <v>773</v>
      </c>
      <c r="E185" s="340" t="s">
        <v>24</v>
      </c>
      <c r="F185" s="331">
        <v>1</v>
      </c>
      <c r="G185" s="338">
        <v>2.1</v>
      </c>
      <c r="H185" s="385">
        <f>-G185*F185*1</f>
        <v>-2.1</v>
      </c>
    </row>
    <row r="186" spans="2:8" s="65" customFormat="1" ht="20.100000000000001" customHeight="1" x14ac:dyDescent="0.25">
      <c r="B186" s="389"/>
      <c r="C186" s="278"/>
      <c r="D186" s="61" t="s">
        <v>816</v>
      </c>
      <c r="E186" s="340" t="s">
        <v>24</v>
      </c>
      <c r="F186" s="331">
        <v>2.5</v>
      </c>
      <c r="G186" s="338">
        <v>1.4</v>
      </c>
      <c r="H186" s="385">
        <f>-4*G186*F186</f>
        <v>-14</v>
      </c>
    </row>
    <row r="187" spans="2:8" s="65" customFormat="1" ht="20.100000000000001" customHeight="1" x14ac:dyDescent="0.25">
      <c r="B187" s="389"/>
      <c r="C187" s="278"/>
      <c r="D187" s="61" t="s">
        <v>876</v>
      </c>
      <c r="E187" s="340" t="s">
        <v>24</v>
      </c>
      <c r="F187" s="331">
        <f>6+8+8+0.1+0.15+0.15+0.2+0.15+0.075</f>
        <v>22.824999999999996</v>
      </c>
      <c r="G187" s="331">
        <v>3</v>
      </c>
      <c r="H187" s="385">
        <f>G187*F187</f>
        <v>68.474999999999994</v>
      </c>
    </row>
    <row r="188" spans="2:8" s="65" customFormat="1" ht="20.100000000000001" customHeight="1" x14ac:dyDescent="0.25">
      <c r="B188" s="389"/>
      <c r="C188" s="278"/>
      <c r="D188" s="61" t="s">
        <v>874</v>
      </c>
      <c r="E188" s="340" t="s">
        <v>24</v>
      </c>
      <c r="F188" s="331">
        <v>0.8</v>
      </c>
      <c r="G188" s="338">
        <v>2.1</v>
      </c>
      <c r="H188" s="385">
        <f>-G188*F188*1</f>
        <v>-1.6800000000000002</v>
      </c>
    </row>
    <row r="189" spans="2:8" s="65" customFormat="1" ht="20.100000000000001" customHeight="1" x14ac:dyDescent="0.25">
      <c r="B189" s="389"/>
      <c r="C189" s="278"/>
      <c r="D189" s="61" t="s">
        <v>816</v>
      </c>
      <c r="E189" s="340" t="s">
        <v>24</v>
      </c>
      <c r="F189" s="331">
        <v>2.5</v>
      </c>
      <c r="G189" s="338">
        <v>1.4</v>
      </c>
      <c r="H189" s="385">
        <f>-4*G189*F189</f>
        <v>-14</v>
      </c>
    </row>
    <row r="190" spans="2:8" s="65" customFormat="1" ht="20.100000000000001" customHeight="1" x14ac:dyDescent="0.25">
      <c r="B190" s="389"/>
      <c r="C190" s="278"/>
      <c r="D190" s="61" t="s">
        <v>877</v>
      </c>
      <c r="E190" s="340" t="s">
        <v>24</v>
      </c>
      <c r="F190" s="331">
        <f>1.25+0.15+6.15+0.2+0.15+4+0.15+3.805+2.9+0.15+2.9</f>
        <v>21.805</v>
      </c>
      <c r="G190" s="331">
        <v>3</v>
      </c>
      <c r="H190" s="385">
        <f>G190*F190</f>
        <v>65.414999999999992</v>
      </c>
    </row>
    <row r="191" spans="2:8" s="65" customFormat="1" ht="20.100000000000001" customHeight="1" x14ac:dyDescent="0.25">
      <c r="B191" s="390"/>
      <c r="C191" s="279"/>
      <c r="D191" s="61" t="s">
        <v>878</v>
      </c>
      <c r="E191" s="340" t="s">
        <v>24</v>
      </c>
      <c r="F191" s="338">
        <v>3</v>
      </c>
      <c r="G191" s="338">
        <v>0.75</v>
      </c>
      <c r="H191" s="385">
        <f>-2*G191*F191</f>
        <v>-4.5</v>
      </c>
    </row>
    <row r="192" spans="2:8" s="65" customFormat="1" ht="20.100000000000001" customHeight="1" x14ac:dyDescent="0.25">
      <c r="B192" s="394" t="s">
        <v>113</v>
      </c>
      <c r="C192" s="179">
        <v>20118</v>
      </c>
      <c r="D192" s="77" t="s">
        <v>170</v>
      </c>
      <c r="E192" s="75" t="s">
        <v>100</v>
      </c>
      <c r="F192" s="342" t="s">
        <v>257</v>
      </c>
      <c r="G192" s="342" t="s">
        <v>31</v>
      </c>
      <c r="H192" s="387">
        <f>SUM(H193:H203)</f>
        <v>35.117999999999995</v>
      </c>
    </row>
    <row r="193" spans="2:8" s="65" customFormat="1" ht="20.100000000000001" customHeight="1" x14ac:dyDescent="0.25">
      <c r="B193" s="483"/>
      <c r="C193" s="484"/>
      <c r="D193" s="61" t="s">
        <v>171</v>
      </c>
      <c r="E193" s="340" t="s">
        <v>100</v>
      </c>
      <c r="F193" s="338">
        <v>0.12</v>
      </c>
      <c r="G193" s="338">
        <v>0.5</v>
      </c>
      <c r="H193" s="383">
        <f t="shared" ref="H193:H201" si="14">G193*F193</f>
        <v>0.06</v>
      </c>
    </row>
    <row r="194" spans="2:8" s="65" customFormat="1" ht="20.100000000000001" customHeight="1" x14ac:dyDescent="0.25">
      <c r="B194" s="483"/>
      <c r="C194" s="484"/>
      <c r="D194" s="61" t="s">
        <v>172</v>
      </c>
      <c r="E194" s="340" t="s">
        <v>100</v>
      </c>
      <c r="F194" s="338">
        <f>0.63</f>
        <v>0.63</v>
      </c>
      <c r="G194" s="338">
        <v>0.8</v>
      </c>
      <c r="H194" s="383">
        <f t="shared" si="14"/>
        <v>0.504</v>
      </c>
    </row>
    <row r="195" spans="2:8" s="65" customFormat="1" ht="20.100000000000001" customHeight="1" x14ac:dyDescent="0.25">
      <c r="B195" s="483"/>
      <c r="C195" s="484"/>
      <c r="D195" s="61" t="s">
        <v>173</v>
      </c>
      <c r="E195" s="340" t="s">
        <v>100</v>
      </c>
      <c r="F195" s="338">
        <v>0.12</v>
      </c>
      <c r="G195" s="338">
        <v>0.5</v>
      </c>
      <c r="H195" s="383">
        <f t="shared" si="14"/>
        <v>0.06</v>
      </c>
    </row>
    <row r="196" spans="2:8" s="65" customFormat="1" ht="20.100000000000001" customHeight="1" x14ac:dyDescent="0.25">
      <c r="B196" s="483"/>
      <c r="C196" s="484"/>
      <c r="D196" s="61" t="s">
        <v>174</v>
      </c>
      <c r="E196" s="340" t="s">
        <v>100</v>
      </c>
      <c r="F196" s="338">
        <f>0.63</f>
        <v>0.63</v>
      </c>
      <c r="G196" s="338">
        <v>0.8</v>
      </c>
      <c r="H196" s="383">
        <f t="shared" si="14"/>
        <v>0.504</v>
      </c>
    </row>
    <row r="197" spans="2:8" s="65" customFormat="1" ht="20.100000000000001" customHeight="1" x14ac:dyDescent="0.25">
      <c r="B197" s="483"/>
      <c r="C197" s="484"/>
      <c r="D197" s="61" t="s">
        <v>248</v>
      </c>
      <c r="E197" s="340" t="s">
        <v>100</v>
      </c>
      <c r="F197" s="338">
        <v>5.1749999999999998</v>
      </c>
      <c r="G197" s="338">
        <v>1.2</v>
      </c>
      <c r="H197" s="383">
        <f t="shared" si="14"/>
        <v>6.21</v>
      </c>
    </row>
    <row r="198" spans="2:8" s="65" customFormat="1" ht="20.100000000000001" customHeight="1" x14ac:dyDescent="0.25">
      <c r="B198" s="483"/>
      <c r="C198" s="484"/>
      <c r="D198" s="61" t="s">
        <v>249</v>
      </c>
      <c r="E198" s="340" t="s">
        <v>100</v>
      </c>
      <c r="F198" s="338">
        <v>2.5099999999999998</v>
      </c>
      <c r="G198" s="338">
        <v>3</v>
      </c>
      <c r="H198" s="383">
        <f t="shared" si="14"/>
        <v>7.5299999999999994</v>
      </c>
    </row>
    <row r="199" spans="2:8" s="65" customFormat="1" ht="20.100000000000001" customHeight="1" x14ac:dyDescent="0.25">
      <c r="B199" s="483"/>
      <c r="C199" s="484"/>
      <c r="D199" s="61" t="s">
        <v>250</v>
      </c>
      <c r="E199" s="340" t="s">
        <v>100</v>
      </c>
      <c r="F199" s="338">
        <v>2.25</v>
      </c>
      <c r="G199" s="338">
        <v>1.2</v>
      </c>
      <c r="H199" s="383">
        <f t="shared" si="14"/>
        <v>2.6999999999999997</v>
      </c>
    </row>
    <row r="200" spans="2:8" s="65" customFormat="1" ht="20.100000000000001" customHeight="1" x14ac:dyDescent="0.25">
      <c r="B200" s="483"/>
      <c r="C200" s="484"/>
      <c r="D200" s="61" t="s">
        <v>175</v>
      </c>
      <c r="E200" s="340" t="s">
        <v>100</v>
      </c>
      <c r="F200" s="338">
        <v>2.0699999999999998</v>
      </c>
      <c r="G200" s="338">
        <v>3</v>
      </c>
      <c r="H200" s="383">
        <f t="shared" si="14"/>
        <v>6.2099999999999991</v>
      </c>
    </row>
    <row r="201" spans="2:8" s="65" customFormat="1" ht="20.100000000000001" customHeight="1" x14ac:dyDescent="0.25">
      <c r="B201" s="483"/>
      <c r="C201" s="484"/>
      <c r="D201" s="61" t="s">
        <v>177</v>
      </c>
      <c r="E201" s="340" t="s">
        <v>100</v>
      </c>
      <c r="F201" s="338">
        <v>3.28</v>
      </c>
      <c r="G201" s="338">
        <v>3</v>
      </c>
      <c r="H201" s="383">
        <f t="shared" si="14"/>
        <v>9.84</v>
      </c>
    </row>
    <row r="202" spans="2:8" s="65" customFormat="1" ht="20.100000000000001" customHeight="1" x14ac:dyDescent="0.25">
      <c r="B202" s="483"/>
      <c r="C202" s="484"/>
      <c r="D202" s="61" t="s">
        <v>422</v>
      </c>
      <c r="E202" s="340" t="s">
        <v>100</v>
      </c>
      <c r="F202" s="338">
        <v>1</v>
      </c>
      <c r="G202" s="338">
        <v>2.1</v>
      </c>
      <c r="H202" s="383">
        <f>-G202*F202</f>
        <v>-2.1</v>
      </c>
    </row>
    <row r="203" spans="2:8" s="65" customFormat="1" ht="20.100000000000001" customHeight="1" x14ac:dyDescent="0.25">
      <c r="B203" s="483"/>
      <c r="C203" s="484"/>
      <c r="D203" s="61" t="s">
        <v>176</v>
      </c>
      <c r="E203" s="340" t="s">
        <v>100</v>
      </c>
      <c r="F203" s="338">
        <v>1.2</v>
      </c>
      <c r="G203" s="338">
        <v>3</v>
      </c>
      <c r="H203" s="383">
        <f>G203*F203</f>
        <v>3.5999999999999996</v>
      </c>
    </row>
    <row r="204" spans="2:8" s="65" customFormat="1" ht="20.100000000000001" customHeight="1" x14ac:dyDescent="0.25">
      <c r="B204" s="394" t="s">
        <v>181</v>
      </c>
      <c r="C204" s="179">
        <v>20135</v>
      </c>
      <c r="D204" s="77" t="s">
        <v>179</v>
      </c>
      <c r="E204" s="75" t="s">
        <v>24</v>
      </c>
      <c r="F204" s="342" t="s">
        <v>26</v>
      </c>
      <c r="G204" s="342" t="s">
        <v>27</v>
      </c>
      <c r="H204" s="387">
        <f>SUM(H205:H208)</f>
        <v>143.82</v>
      </c>
    </row>
    <row r="205" spans="2:8" s="65" customFormat="1" ht="20.100000000000001" customHeight="1" x14ac:dyDescent="0.25">
      <c r="B205" s="483"/>
      <c r="C205" s="484"/>
      <c r="D205" s="61" t="s">
        <v>128</v>
      </c>
      <c r="E205" s="340" t="s">
        <v>24</v>
      </c>
      <c r="F205" s="331">
        <v>8.09</v>
      </c>
      <c r="G205" s="331">
        <v>6</v>
      </c>
      <c r="H205" s="385">
        <f>G205*F205</f>
        <v>48.54</v>
      </c>
    </row>
    <row r="206" spans="2:8" s="65" customFormat="1" ht="20.100000000000001" customHeight="1" x14ac:dyDescent="0.25">
      <c r="B206" s="483"/>
      <c r="C206" s="484"/>
      <c r="D206" s="61" t="s">
        <v>136</v>
      </c>
      <c r="E206" s="340" t="s">
        <v>24</v>
      </c>
      <c r="F206" s="331">
        <v>3.33</v>
      </c>
      <c r="G206" s="331">
        <v>6</v>
      </c>
      <c r="H206" s="385">
        <f>G206*F206</f>
        <v>19.98</v>
      </c>
    </row>
    <row r="207" spans="2:8" s="65" customFormat="1" ht="20.100000000000001" customHeight="1" x14ac:dyDescent="0.25">
      <c r="B207" s="483"/>
      <c r="C207" s="484"/>
      <c r="D207" s="61" t="s">
        <v>129</v>
      </c>
      <c r="E207" s="340" t="s">
        <v>24</v>
      </c>
      <c r="F207" s="331">
        <v>6.3</v>
      </c>
      <c r="G207" s="331">
        <v>6</v>
      </c>
      <c r="H207" s="385">
        <f>G207*F207</f>
        <v>37.799999999999997</v>
      </c>
    </row>
    <row r="208" spans="2:8" s="65" customFormat="1" ht="20.100000000000001" customHeight="1" x14ac:dyDescent="0.25">
      <c r="B208" s="483"/>
      <c r="C208" s="484"/>
      <c r="D208" s="61" t="s">
        <v>180</v>
      </c>
      <c r="E208" s="340" t="s">
        <v>24</v>
      </c>
      <c r="F208" s="331">
        <v>6.25</v>
      </c>
      <c r="G208" s="331">
        <v>6</v>
      </c>
      <c r="H208" s="385">
        <f>G208*F208</f>
        <v>37.5</v>
      </c>
    </row>
    <row r="209" spans="2:8" s="65" customFormat="1" ht="20.100000000000001" customHeight="1" x14ac:dyDescent="0.25">
      <c r="B209" s="394" t="s">
        <v>184</v>
      </c>
      <c r="C209" s="179">
        <v>20121</v>
      </c>
      <c r="D209" s="77" t="s">
        <v>182</v>
      </c>
      <c r="E209" s="75" t="s">
        <v>100</v>
      </c>
      <c r="F209" s="342" t="s">
        <v>260</v>
      </c>
      <c r="G209" s="342" t="s">
        <v>261</v>
      </c>
      <c r="H209" s="387">
        <f>H210</f>
        <v>15.600000000000001</v>
      </c>
    </row>
    <row r="210" spans="2:8" s="65" customFormat="1" ht="20.100000000000001" customHeight="1" x14ac:dyDescent="0.25">
      <c r="B210" s="447"/>
      <c r="C210" s="448"/>
      <c r="D210" s="61" t="s">
        <v>183</v>
      </c>
      <c r="E210" s="340" t="s">
        <v>100</v>
      </c>
      <c r="F210" s="331">
        <f>52*3</f>
        <v>156</v>
      </c>
      <c r="G210" s="331">
        <v>0.1</v>
      </c>
      <c r="H210" s="385">
        <f>G210*F210</f>
        <v>15.600000000000001</v>
      </c>
    </row>
    <row r="211" spans="2:8" s="65" customFormat="1" ht="20.100000000000001" customHeight="1" x14ac:dyDescent="0.25">
      <c r="B211" s="394" t="s">
        <v>187</v>
      </c>
      <c r="C211" s="179">
        <v>20139</v>
      </c>
      <c r="D211" s="152" t="s">
        <v>185</v>
      </c>
      <c r="E211" s="75" t="s">
        <v>24</v>
      </c>
      <c r="F211" s="342" t="s">
        <v>26</v>
      </c>
      <c r="G211" s="342" t="s">
        <v>27</v>
      </c>
      <c r="H211" s="387">
        <f>SUM(H212:H213)</f>
        <v>6.3220000000000001</v>
      </c>
    </row>
    <row r="212" spans="2:8" s="65" customFormat="1" ht="20.100000000000001" customHeight="1" x14ac:dyDescent="0.25">
      <c r="B212" s="447"/>
      <c r="C212" s="448"/>
      <c r="D212" s="61" t="s">
        <v>186</v>
      </c>
      <c r="E212" s="340" t="s">
        <v>24</v>
      </c>
      <c r="F212" s="331">
        <v>10.35</v>
      </c>
      <c r="G212" s="331">
        <v>0.5</v>
      </c>
      <c r="H212" s="385">
        <f>G212*F212</f>
        <v>5.1749999999999998</v>
      </c>
    </row>
    <row r="213" spans="2:8" s="65" customFormat="1" ht="18.75" customHeight="1" x14ac:dyDescent="0.25">
      <c r="B213" s="447"/>
      <c r="C213" s="448"/>
      <c r="D213" s="61" t="s">
        <v>255</v>
      </c>
      <c r="E213" s="340" t="s">
        <v>24</v>
      </c>
      <c r="F213" s="331">
        <v>1.85</v>
      </c>
      <c r="G213" s="331">
        <v>0.62</v>
      </c>
      <c r="H213" s="385">
        <f>G213*F213</f>
        <v>1.147</v>
      </c>
    </row>
    <row r="214" spans="2:8" s="65" customFormat="1" ht="20.100000000000001" customHeight="1" x14ac:dyDescent="0.25">
      <c r="B214" s="394" t="s">
        <v>191</v>
      </c>
      <c r="C214" s="179">
        <v>20147</v>
      </c>
      <c r="D214" s="77" t="s">
        <v>188</v>
      </c>
      <c r="E214" s="75" t="s">
        <v>24</v>
      </c>
      <c r="F214" s="342" t="s">
        <v>26</v>
      </c>
      <c r="G214" s="342" t="s">
        <v>27</v>
      </c>
      <c r="H214" s="387">
        <f>SUM(H215:H220)</f>
        <v>211.72499999999997</v>
      </c>
    </row>
    <row r="215" spans="2:8" s="65" customFormat="1" ht="20.100000000000001" customHeight="1" x14ac:dyDescent="0.25">
      <c r="B215" s="447"/>
      <c r="C215" s="448"/>
      <c r="D215" s="61" t="s">
        <v>186</v>
      </c>
      <c r="E215" s="340" t="s">
        <v>24</v>
      </c>
      <c r="F215" s="331">
        <v>6</v>
      </c>
      <c r="G215" s="331">
        <v>14.75</v>
      </c>
      <c r="H215" s="385">
        <f t="shared" ref="H215:H220" si="15">G215*F215</f>
        <v>88.5</v>
      </c>
    </row>
    <row r="216" spans="2:8" s="65" customFormat="1" ht="20.100000000000001" customHeight="1" x14ac:dyDescent="0.25">
      <c r="B216" s="447"/>
      <c r="C216" s="448"/>
      <c r="D216" s="61" t="s">
        <v>189</v>
      </c>
      <c r="E216" s="340" t="s">
        <v>24</v>
      </c>
      <c r="F216" s="331">
        <f>4.1</f>
        <v>4.0999999999999996</v>
      </c>
      <c r="G216" s="331">
        <v>6</v>
      </c>
      <c r="H216" s="385">
        <f t="shared" si="15"/>
        <v>24.599999999999998</v>
      </c>
    </row>
    <row r="217" spans="2:8" s="65" customFormat="1" ht="20.100000000000001" customHeight="1" x14ac:dyDescent="0.25">
      <c r="B217" s="447"/>
      <c r="C217" s="448"/>
      <c r="D217" s="61" t="s">
        <v>190</v>
      </c>
      <c r="E217" s="340" t="s">
        <v>24</v>
      </c>
      <c r="F217" s="331">
        <v>6.1</v>
      </c>
      <c r="G217" s="331">
        <v>4.25</v>
      </c>
      <c r="H217" s="385">
        <f t="shared" si="15"/>
        <v>25.924999999999997</v>
      </c>
    </row>
    <row r="218" spans="2:8" s="65" customFormat="1" ht="20.100000000000001" customHeight="1" x14ac:dyDescent="0.25">
      <c r="B218" s="447"/>
      <c r="C218" s="448"/>
      <c r="D218" s="61" t="s">
        <v>193</v>
      </c>
      <c r="E218" s="340" t="s">
        <v>24</v>
      </c>
      <c r="F218" s="331">
        <v>4</v>
      </c>
      <c r="G218" s="331">
        <v>4.835</v>
      </c>
      <c r="H218" s="385">
        <f t="shared" si="15"/>
        <v>19.34</v>
      </c>
    </row>
    <row r="219" spans="2:8" s="65" customFormat="1" ht="20.100000000000001" customHeight="1" x14ac:dyDescent="0.25">
      <c r="B219" s="447"/>
      <c r="C219" s="448"/>
      <c r="D219" s="61" t="s">
        <v>325</v>
      </c>
      <c r="E219" s="340" t="s">
        <v>24</v>
      </c>
      <c r="F219" s="331">
        <v>4</v>
      </c>
      <c r="G219" s="331">
        <v>4.835</v>
      </c>
      <c r="H219" s="385">
        <f t="shared" si="15"/>
        <v>19.34</v>
      </c>
    </row>
    <row r="220" spans="2:8" s="65" customFormat="1" ht="20.100000000000001" customHeight="1" x14ac:dyDescent="0.25">
      <c r="B220" s="447"/>
      <c r="C220" s="448"/>
      <c r="D220" s="61" t="s">
        <v>137</v>
      </c>
      <c r="E220" s="340" t="s">
        <v>24</v>
      </c>
      <c r="F220" s="331">
        <v>5.67</v>
      </c>
      <c r="G220" s="331">
        <v>6</v>
      </c>
      <c r="H220" s="385">
        <f t="shared" si="15"/>
        <v>34.019999999999996</v>
      </c>
    </row>
    <row r="221" spans="2:8" s="65" customFormat="1" ht="20.100000000000001" customHeight="1" x14ac:dyDescent="0.25">
      <c r="B221" s="394" t="s">
        <v>195</v>
      </c>
      <c r="C221" s="179">
        <v>20151</v>
      </c>
      <c r="D221" s="77" t="s">
        <v>192</v>
      </c>
      <c r="E221" s="75" t="s">
        <v>24</v>
      </c>
      <c r="F221" s="342" t="s">
        <v>26</v>
      </c>
      <c r="G221" s="342" t="s">
        <v>31</v>
      </c>
      <c r="H221" s="387">
        <f>SUM(H222:H223)</f>
        <v>17.779999999999998</v>
      </c>
    </row>
    <row r="222" spans="2:8" s="65" customFormat="1" ht="20.100000000000001" customHeight="1" x14ac:dyDescent="0.25">
      <c r="B222" s="447"/>
      <c r="C222" s="448"/>
      <c r="D222" s="61" t="s">
        <v>193</v>
      </c>
      <c r="E222" s="340" t="s">
        <v>24</v>
      </c>
      <c r="F222" s="331">
        <f>1.2+0.35+1.2+0.3+0.3+0.3+1.2+0.3+1.2</f>
        <v>6.35</v>
      </c>
      <c r="G222" s="331">
        <v>1.4</v>
      </c>
      <c r="H222" s="385">
        <f>G222*F222</f>
        <v>8.8899999999999988</v>
      </c>
    </row>
    <row r="223" spans="2:8" s="65" customFormat="1" ht="22.5" customHeight="1" x14ac:dyDescent="0.25">
      <c r="B223" s="447"/>
      <c r="C223" s="448"/>
      <c r="D223" s="61" t="s">
        <v>194</v>
      </c>
      <c r="E223" s="340" t="s">
        <v>24</v>
      </c>
      <c r="F223" s="331">
        <f>1.2+0.35+1.2+0.3+0.3+0.3+1.2+0.3+1.2</f>
        <v>6.35</v>
      </c>
      <c r="G223" s="331">
        <v>1.4</v>
      </c>
      <c r="H223" s="385">
        <f>G223*F223</f>
        <v>8.8899999999999988</v>
      </c>
    </row>
    <row r="224" spans="2:8" s="65" customFormat="1" ht="33.75" customHeight="1" x14ac:dyDescent="0.25">
      <c r="B224" s="394" t="s">
        <v>197</v>
      </c>
      <c r="C224" s="179">
        <v>20164</v>
      </c>
      <c r="D224" s="77" t="s">
        <v>196</v>
      </c>
      <c r="E224" s="75" t="s">
        <v>29</v>
      </c>
      <c r="F224" s="481" t="s">
        <v>26</v>
      </c>
      <c r="G224" s="481"/>
      <c r="H224" s="387">
        <f>H225</f>
        <v>30</v>
      </c>
    </row>
    <row r="225" spans="2:8" s="65" customFormat="1" ht="20.100000000000001" customHeight="1" x14ac:dyDescent="0.25">
      <c r="B225" s="447"/>
      <c r="C225" s="448"/>
      <c r="D225" s="61" t="s">
        <v>189</v>
      </c>
      <c r="E225" s="340" t="s">
        <v>29</v>
      </c>
      <c r="F225" s="446">
        <v>30</v>
      </c>
      <c r="G225" s="446"/>
      <c r="H225" s="385">
        <f>F225</f>
        <v>30</v>
      </c>
    </row>
    <row r="226" spans="2:8" s="65" customFormat="1" ht="20.100000000000001" customHeight="1" x14ac:dyDescent="0.25">
      <c r="B226" s="394" t="s">
        <v>461</v>
      </c>
      <c r="C226" s="179">
        <v>20167</v>
      </c>
      <c r="D226" s="77" t="s">
        <v>423</v>
      </c>
      <c r="E226" s="75" t="s">
        <v>340</v>
      </c>
      <c r="F226" s="481" t="s">
        <v>308</v>
      </c>
      <c r="G226" s="481"/>
      <c r="H226" s="387">
        <f>SUM(H227:H258)</f>
        <v>107</v>
      </c>
    </row>
    <row r="227" spans="2:8" s="65" customFormat="1" ht="20.100000000000001" customHeight="1" x14ac:dyDescent="0.25">
      <c r="B227" s="465"/>
      <c r="C227" s="466"/>
      <c r="D227" s="61" t="s">
        <v>442</v>
      </c>
      <c r="E227" s="340" t="s">
        <v>340</v>
      </c>
      <c r="F227" s="446">
        <v>2</v>
      </c>
      <c r="G227" s="446"/>
      <c r="H227" s="385">
        <f>F227</f>
        <v>2</v>
      </c>
    </row>
    <row r="228" spans="2:8" s="65" customFormat="1" ht="20.100000000000001" customHeight="1" x14ac:dyDescent="0.25">
      <c r="B228" s="473"/>
      <c r="C228" s="474"/>
      <c r="D228" s="61" t="s">
        <v>205</v>
      </c>
      <c r="E228" s="340" t="s">
        <v>340</v>
      </c>
      <c r="F228" s="446">
        <v>4</v>
      </c>
      <c r="G228" s="446"/>
      <c r="H228" s="385">
        <f t="shared" ref="H228:H258" si="16">F228</f>
        <v>4</v>
      </c>
    </row>
    <row r="229" spans="2:8" s="65" customFormat="1" ht="20.100000000000001" customHeight="1" x14ac:dyDescent="0.25">
      <c r="B229" s="473"/>
      <c r="C229" s="474"/>
      <c r="D229" s="61" t="s">
        <v>424</v>
      </c>
      <c r="E229" s="340" t="s">
        <v>340</v>
      </c>
      <c r="F229" s="446">
        <v>3</v>
      </c>
      <c r="G229" s="446"/>
      <c r="H229" s="385">
        <f t="shared" si="16"/>
        <v>3</v>
      </c>
    </row>
    <row r="230" spans="2:8" s="65" customFormat="1" ht="20.100000000000001" customHeight="1" x14ac:dyDescent="0.25">
      <c r="B230" s="473"/>
      <c r="C230" s="474"/>
      <c r="D230" s="61" t="s">
        <v>425</v>
      </c>
      <c r="E230" s="340" t="s">
        <v>340</v>
      </c>
      <c r="F230" s="446">
        <v>2</v>
      </c>
      <c r="G230" s="446"/>
      <c r="H230" s="385">
        <f t="shared" si="16"/>
        <v>2</v>
      </c>
    </row>
    <row r="231" spans="2:8" s="65" customFormat="1" ht="20.100000000000001" customHeight="1" x14ac:dyDescent="0.25">
      <c r="B231" s="473"/>
      <c r="C231" s="474"/>
      <c r="D231" s="61" t="s">
        <v>426</v>
      </c>
      <c r="E231" s="340" t="s">
        <v>340</v>
      </c>
      <c r="F231" s="446">
        <v>4</v>
      </c>
      <c r="G231" s="446"/>
      <c r="H231" s="385">
        <f t="shared" si="16"/>
        <v>4</v>
      </c>
    </row>
    <row r="232" spans="2:8" s="65" customFormat="1" ht="20.100000000000001" customHeight="1" x14ac:dyDescent="0.25">
      <c r="B232" s="473"/>
      <c r="C232" s="474"/>
      <c r="D232" s="61" t="s">
        <v>427</v>
      </c>
      <c r="E232" s="340" t="s">
        <v>340</v>
      </c>
      <c r="F232" s="446">
        <v>19</v>
      </c>
      <c r="G232" s="446"/>
      <c r="H232" s="385">
        <f t="shared" si="16"/>
        <v>19</v>
      </c>
    </row>
    <row r="233" spans="2:8" s="65" customFormat="1" ht="24.75" customHeight="1" x14ac:dyDescent="0.25">
      <c r="B233" s="473"/>
      <c r="C233" s="474"/>
      <c r="D233" s="61" t="s">
        <v>152</v>
      </c>
      <c r="E233" s="340" t="s">
        <v>340</v>
      </c>
      <c r="F233" s="446">
        <v>3</v>
      </c>
      <c r="G233" s="446"/>
      <c r="H233" s="385">
        <f t="shared" si="16"/>
        <v>3</v>
      </c>
    </row>
    <row r="234" spans="2:8" s="65" customFormat="1" ht="20.100000000000001" customHeight="1" x14ac:dyDescent="0.25">
      <c r="B234" s="473"/>
      <c r="C234" s="474"/>
      <c r="D234" s="61" t="s">
        <v>282</v>
      </c>
      <c r="E234" s="340" t="s">
        <v>340</v>
      </c>
      <c r="F234" s="446">
        <v>3</v>
      </c>
      <c r="G234" s="446"/>
      <c r="H234" s="385">
        <f t="shared" si="16"/>
        <v>3</v>
      </c>
    </row>
    <row r="235" spans="2:8" s="65" customFormat="1" ht="20.25" customHeight="1" x14ac:dyDescent="0.25">
      <c r="B235" s="473"/>
      <c r="C235" s="474"/>
      <c r="D235" s="61" t="s">
        <v>428</v>
      </c>
      <c r="E235" s="340" t="s">
        <v>340</v>
      </c>
      <c r="F235" s="446">
        <v>6</v>
      </c>
      <c r="G235" s="446"/>
      <c r="H235" s="385">
        <f t="shared" si="16"/>
        <v>6</v>
      </c>
    </row>
    <row r="236" spans="2:8" s="65" customFormat="1" ht="20.100000000000001" customHeight="1" x14ac:dyDescent="0.25">
      <c r="B236" s="473"/>
      <c r="C236" s="474"/>
      <c r="D236" s="61" t="s">
        <v>164</v>
      </c>
      <c r="E236" s="340" t="s">
        <v>340</v>
      </c>
      <c r="F236" s="446">
        <v>1</v>
      </c>
      <c r="G236" s="446"/>
      <c r="H236" s="385">
        <f t="shared" si="16"/>
        <v>1</v>
      </c>
    </row>
    <row r="237" spans="2:8" s="65" customFormat="1" ht="20.100000000000001" customHeight="1" x14ac:dyDescent="0.25">
      <c r="B237" s="473"/>
      <c r="C237" s="474"/>
      <c r="D237" s="61" t="s">
        <v>163</v>
      </c>
      <c r="E237" s="340" t="s">
        <v>340</v>
      </c>
      <c r="F237" s="446">
        <v>1</v>
      </c>
      <c r="G237" s="446"/>
      <c r="H237" s="385">
        <f t="shared" si="16"/>
        <v>1</v>
      </c>
    </row>
    <row r="238" spans="2:8" s="65" customFormat="1" ht="20.100000000000001" customHeight="1" x14ac:dyDescent="0.25">
      <c r="B238" s="473"/>
      <c r="C238" s="474"/>
      <c r="D238" s="61" t="s">
        <v>382</v>
      </c>
      <c r="E238" s="340" t="s">
        <v>340</v>
      </c>
      <c r="F238" s="446">
        <v>6</v>
      </c>
      <c r="G238" s="446"/>
      <c r="H238" s="385">
        <f t="shared" si="16"/>
        <v>6</v>
      </c>
    </row>
    <row r="239" spans="2:8" s="65" customFormat="1" ht="20.100000000000001" customHeight="1" x14ac:dyDescent="0.25">
      <c r="B239" s="473"/>
      <c r="C239" s="474"/>
      <c r="D239" s="61" t="s">
        <v>429</v>
      </c>
      <c r="E239" s="340" t="s">
        <v>340</v>
      </c>
      <c r="F239" s="446">
        <v>1</v>
      </c>
      <c r="G239" s="446"/>
      <c r="H239" s="385">
        <f t="shared" si="16"/>
        <v>1</v>
      </c>
    </row>
    <row r="240" spans="2:8" s="65" customFormat="1" ht="20.100000000000001" customHeight="1" x14ac:dyDescent="0.25">
      <c r="B240" s="473"/>
      <c r="C240" s="474"/>
      <c r="D240" s="61" t="s">
        <v>430</v>
      </c>
      <c r="E240" s="340" t="s">
        <v>340</v>
      </c>
      <c r="F240" s="446">
        <v>1</v>
      </c>
      <c r="G240" s="446"/>
      <c r="H240" s="385">
        <f t="shared" si="16"/>
        <v>1</v>
      </c>
    </row>
    <row r="241" spans="2:8" s="65" customFormat="1" ht="20.100000000000001" customHeight="1" x14ac:dyDescent="0.25">
      <c r="B241" s="473"/>
      <c r="C241" s="474"/>
      <c r="D241" s="61" t="s">
        <v>431</v>
      </c>
      <c r="E241" s="340" t="s">
        <v>340</v>
      </c>
      <c r="F241" s="446">
        <v>3</v>
      </c>
      <c r="G241" s="446"/>
      <c r="H241" s="385">
        <f t="shared" si="16"/>
        <v>3</v>
      </c>
    </row>
    <row r="242" spans="2:8" s="65" customFormat="1" ht="20.100000000000001" customHeight="1" x14ac:dyDescent="0.25">
      <c r="B242" s="473"/>
      <c r="C242" s="474"/>
      <c r="D242" s="61" t="s">
        <v>439</v>
      </c>
      <c r="E242" s="340" t="s">
        <v>340</v>
      </c>
      <c r="F242" s="446">
        <v>1</v>
      </c>
      <c r="G242" s="446"/>
      <c r="H242" s="385">
        <f t="shared" si="16"/>
        <v>1</v>
      </c>
    </row>
    <row r="243" spans="2:8" s="65" customFormat="1" ht="20.100000000000001" customHeight="1" x14ac:dyDescent="0.25">
      <c r="B243" s="473"/>
      <c r="C243" s="474"/>
      <c r="D243" s="61" t="s">
        <v>444</v>
      </c>
      <c r="E243" s="340" t="s">
        <v>340</v>
      </c>
      <c r="F243" s="446">
        <v>1</v>
      </c>
      <c r="G243" s="446"/>
      <c r="H243" s="385">
        <f t="shared" si="16"/>
        <v>1</v>
      </c>
    </row>
    <row r="244" spans="2:8" s="65" customFormat="1" ht="20.100000000000001" customHeight="1" x14ac:dyDescent="0.25">
      <c r="B244" s="473"/>
      <c r="C244" s="474"/>
      <c r="D244" s="61" t="s">
        <v>432</v>
      </c>
      <c r="E244" s="340" t="s">
        <v>340</v>
      </c>
      <c r="F244" s="446">
        <v>3</v>
      </c>
      <c r="G244" s="446"/>
      <c r="H244" s="385">
        <f t="shared" si="16"/>
        <v>3</v>
      </c>
    </row>
    <row r="245" spans="2:8" s="65" customFormat="1" ht="20.100000000000001" customHeight="1" x14ac:dyDescent="0.25">
      <c r="B245" s="473"/>
      <c r="C245" s="474"/>
      <c r="D245" s="61" t="s">
        <v>433</v>
      </c>
      <c r="E245" s="340" t="s">
        <v>340</v>
      </c>
      <c r="F245" s="446">
        <v>2</v>
      </c>
      <c r="G245" s="446"/>
      <c r="H245" s="385">
        <f t="shared" si="16"/>
        <v>2</v>
      </c>
    </row>
    <row r="246" spans="2:8" s="65" customFormat="1" ht="20.100000000000001" customHeight="1" x14ac:dyDescent="0.25">
      <c r="B246" s="473"/>
      <c r="C246" s="474"/>
      <c r="D246" s="61" t="s">
        <v>434</v>
      </c>
      <c r="E246" s="340" t="s">
        <v>340</v>
      </c>
      <c r="F246" s="446">
        <v>1</v>
      </c>
      <c r="G246" s="446"/>
      <c r="H246" s="385">
        <f t="shared" si="16"/>
        <v>1</v>
      </c>
    </row>
    <row r="247" spans="2:8" s="65" customFormat="1" ht="20.100000000000001" customHeight="1" x14ac:dyDescent="0.25">
      <c r="B247" s="473"/>
      <c r="C247" s="474"/>
      <c r="D247" s="61" t="s">
        <v>435</v>
      </c>
      <c r="E247" s="340" t="s">
        <v>340</v>
      </c>
      <c r="F247" s="446">
        <v>1</v>
      </c>
      <c r="G247" s="446"/>
      <c r="H247" s="385">
        <f t="shared" si="16"/>
        <v>1</v>
      </c>
    </row>
    <row r="248" spans="2:8" s="65" customFormat="1" ht="20.100000000000001" customHeight="1" x14ac:dyDescent="0.25">
      <c r="B248" s="473"/>
      <c r="C248" s="474"/>
      <c r="D248" s="61" t="s">
        <v>436</v>
      </c>
      <c r="E248" s="340" t="s">
        <v>340</v>
      </c>
      <c r="F248" s="446">
        <v>1</v>
      </c>
      <c r="G248" s="446"/>
      <c r="H248" s="385">
        <f t="shared" si="16"/>
        <v>1</v>
      </c>
    </row>
    <row r="249" spans="2:8" s="65" customFormat="1" ht="20.100000000000001" customHeight="1" x14ac:dyDescent="0.25">
      <c r="B249" s="473"/>
      <c r="C249" s="474"/>
      <c r="D249" s="61" t="s">
        <v>437</v>
      </c>
      <c r="E249" s="340" t="s">
        <v>340</v>
      </c>
      <c r="F249" s="446">
        <v>1</v>
      </c>
      <c r="G249" s="446"/>
      <c r="H249" s="385">
        <f t="shared" si="16"/>
        <v>1</v>
      </c>
    </row>
    <row r="250" spans="2:8" s="65" customFormat="1" ht="20.100000000000001" customHeight="1" x14ac:dyDescent="0.25">
      <c r="B250" s="473"/>
      <c r="C250" s="474"/>
      <c r="D250" s="61" t="s">
        <v>438</v>
      </c>
      <c r="E250" s="340" t="s">
        <v>340</v>
      </c>
      <c r="F250" s="446">
        <v>5</v>
      </c>
      <c r="G250" s="446"/>
      <c r="H250" s="385">
        <f t="shared" si="16"/>
        <v>5</v>
      </c>
    </row>
    <row r="251" spans="2:8" s="65" customFormat="1" ht="20.100000000000001" customHeight="1" x14ac:dyDescent="0.25">
      <c r="B251" s="473"/>
      <c r="C251" s="474"/>
      <c r="D251" s="61" t="s">
        <v>440</v>
      </c>
      <c r="E251" s="340" t="s">
        <v>340</v>
      </c>
      <c r="F251" s="446">
        <v>4</v>
      </c>
      <c r="G251" s="446"/>
      <c r="H251" s="385">
        <f t="shared" si="16"/>
        <v>4</v>
      </c>
    </row>
    <row r="252" spans="2:8" s="65" customFormat="1" ht="20.100000000000001" customHeight="1" x14ac:dyDescent="0.25">
      <c r="B252" s="473"/>
      <c r="C252" s="474"/>
      <c r="D252" s="61" t="s">
        <v>360</v>
      </c>
      <c r="E252" s="340" t="s">
        <v>340</v>
      </c>
      <c r="F252" s="446">
        <v>2</v>
      </c>
      <c r="G252" s="446"/>
      <c r="H252" s="385">
        <f t="shared" si="16"/>
        <v>2</v>
      </c>
    </row>
    <row r="253" spans="2:8" s="65" customFormat="1" ht="20.100000000000001" customHeight="1" x14ac:dyDescent="0.25">
      <c r="B253" s="473"/>
      <c r="C253" s="474"/>
      <c r="D253" s="61" t="s">
        <v>441</v>
      </c>
      <c r="E253" s="340" t="s">
        <v>340</v>
      </c>
      <c r="F253" s="446">
        <v>4</v>
      </c>
      <c r="G253" s="446"/>
      <c r="H253" s="385">
        <f t="shared" si="16"/>
        <v>4</v>
      </c>
    </row>
    <row r="254" spans="2:8" s="65" customFormat="1" ht="20.100000000000001" customHeight="1" x14ac:dyDescent="0.25">
      <c r="B254" s="473"/>
      <c r="C254" s="474"/>
      <c r="D254" s="61" t="s">
        <v>141</v>
      </c>
      <c r="E254" s="340" t="s">
        <v>340</v>
      </c>
      <c r="F254" s="446">
        <v>6</v>
      </c>
      <c r="G254" s="446"/>
      <c r="H254" s="385">
        <f t="shared" si="16"/>
        <v>6</v>
      </c>
    </row>
    <row r="255" spans="2:8" s="65" customFormat="1" ht="20.100000000000001" customHeight="1" x14ac:dyDescent="0.25">
      <c r="B255" s="473"/>
      <c r="C255" s="474"/>
      <c r="D255" s="61" t="s">
        <v>121</v>
      </c>
      <c r="E255" s="340" t="s">
        <v>340</v>
      </c>
      <c r="F255" s="446">
        <v>6</v>
      </c>
      <c r="G255" s="446"/>
      <c r="H255" s="385">
        <f t="shared" si="16"/>
        <v>6</v>
      </c>
    </row>
    <row r="256" spans="2:8" s="65" customFormat="1" ht="20.100000000000001" customHeight="1" x14ac:dyDescent="0.25">
      <c r="B256" s="467"/>
      <c r="C256" s="468"/>
      <c r="D256" s="61" t="s">
        <v>142</v>
      </c>
      <c r="E256" s="340" t="s">
        <v>340</v>
      </c>
      <c r="F256" s="446">
        <v>6</v>
      </c>
      <c r="G256" s="446"/>
      <c r="H256" s="385">
        <f t="shared" si="16"/>
        <v>6</v>
      </c>
    </row>
    <row r="257" spans="2:8" s="65" customFormat="1" ht="20.100000000000001" customHeight="1" x14ac:dyDescent="0.25">
      <c r="B257" s="465"/>
      <c r="C257" s="466"/>
      <c r="D257" s="61" t="s">
        <v>193</v>
      </c>
      <c r="E257" s="340" t="s">
        <v>340</v>
      </c>
      <c r="F257" s="446">
        <v>2</v>
      </c>
      <c r="G257" s="446"/>
      <c r="H257" s="385">
        <f t="shared" si="16"/>
        <v>2</v>
      </c>
    </row>
    <row r="258" spans="2:8" s="65" customFormat="1" ht="20.100000000000001" customHeight="1" x14ac:dyDescent="0.25">
      <c r="B258" s="467"/>
      <c r="C258" s="468"/>
      <c r="D258" s="61" t="s">
        <v>194</v>
      </c>
      <c r="E258" s="340" t="s">
        <v>340</v>
      </c>
      <c r="F258" s="446">
        <v>2</v>
      </c>
      <c r="G258" s="446"/>
      <c r="H258" s="385">
        <f t="shared" si="16"/>
        <v>2</v>
      </c>
    </row>
    <row r="259" spans="2:8" s="65" customFormat="1" ht="20.100000000000001" customHeight="1" x14ac:dyDescent="0.25">
      <c r="B259" s="394" t="s">
        <v>722</v>
      </c>
      <c r="C259" s="179">
        <v>20168</v>
      </c>
      <c r="D259" s="77" t="s">
        <v>443</v>
      </c>
      <c r="E259" s="75" t="s">
        <v>340</v>
      </c>
      <c r="F259" s="481" t="s">
        <v>308</v>
      </c>
      <c r="G259" s="481"/>
      <c r="H259" s="387">
        <f>SUM(H260:H281)</f>
        <v>53</v>
      </c>
    </row>
    <row r="260" spans="2:8" s="65" customFormat="1" ht="20.100000000000001" customHeight="1" x14ac:dyDescent="0.25">
      <c r="B260" s="447"/>
      <c r="C260" s="448"/>
      <c r="D260" s="61" t="s">
        <v>442</v>
      </c>
      <c r="E260" s="340" t="s">
        <v>340</v>
      </c>
      <c r="F260" s="446">
        <v>3</v>
      </c>
      <c r="G260" s="446"/>
      <c r="H260" s="385">
        <f t="shared" ref="H260:H281" si="17">F260</f>
        <v>3</v>
      </c>
    </row>
    <row r="261" spans="2:8" s="65" customFormat="1" ht="20.100000000000001" customHeight="1" x14ac:dyDescent="0.25">
      <c r="B261" s="447"/>
      <c r="C261" s="448"/>
      <c r="D261" s="61" t="s">
        <v>205</v>
      </c>
      <c r="E261" s="340" t="s">
        <v>340</v>
      </c>
      <c r="F261" s="446">
        <v>6</v>
      </c>
      <c r="G261" s="446"/>
      <c r="H261" s="385">
        <f t="shared" si="17"/>
        <v>6</v>
      </c>
    </row>
    <row r="262" spans="2:8" s="65" customFormat="1" ht="20.100000000000001" customHeight="1" x14ac:dyDescent="0.25">
      <c r="B262" s="447"/>
      <c r="C262" s="448"/>
      <c r="D262" s="61" t="s">
        <v>424</v>
      </c>
      <c r="E262" s="340" t="s">
        <v>340</v>
      </c>
      <c r="F262" s="446">
        <v>6</v>
      </c>
      <c r="G262" s="446"/>
      <c r="H262" s="385">
        <f t="shared" si="17"/>
        <v>6</v>
      </c>
    </row>
    <row r="263" spans="2:8" s="65" customFormat="1" ht="20.100000000000001" customHeight="1" x14ac:dyDescent="0.25">
      <c r="B263" s="447"/>
      <c r="C263" s="448"/>
      <c r="D263" s="61" t="s">
        <v>425</v>
      </c>
      <c r="E263" s="340" t="s">
        <v>340</v>
      </c>
      <c r="F263" s="446">
        <v>4</v>
      </c>
      <c r="G263" s="446"/>
      <c r="H263" s="385">
        <f t="shared" si="17"/>
        <v>4</v>
      </c>
    </row>
    <row r="264" spans="2:8" s="65" customFormat="1" ht="20.100000000000001" customHeight="1" x14ac:dyDescent="0.25">
      <c r="B264" s="447"/>
      <c r="C264" s="448"/>
      <c r="D264" s="61" t="s">
        <v>426</v>
      </c>
      <c r="E264" s="340" t="s">
        <v>340</v>
      </c>
      <c r="F264" s="446">
        <v>4</v>
      </c>
      <c r="G264" s="446"/>
      <c r="H264" s="385">
        <f t="shared" si="17"/>
        <v>4</v>
      </c>
    </row>
    <row r="265" spans="2:8" s="65" customFormat="1" ht="20.100000000000001" customHeight="1" x14ac:dyDescent="0.25">
      <c r="B265" s="447"/>
      <c r="C265" s="448"/>
      <c r="D265" s="61" t="s">
        <v>427</v>
      </c>
      <c r="E265" s="340" t="s">
        <v>340</v>
      </c>
      <c r="F265" s="446">
        <v>3</v>
      </c>
      <c r="G265" s="446"/>
      <c r="H265" s="385">
        <f t="shared" si="17"/>
        <v>3</v>
      </c>
    </row>
    <row r="266" spans="2:8" s="65" customFormat="1" ht="20.100000000000001" customHeight="1" x14ac:dyDescent="0.25">
      <c r="B266" s="447"/>
      <c r="C266" s="448"/>
      <c r="D266" s="61" t="s">
        <v>152</v>
      </c>
      <c r="E266" s="340" t="s">
        <v>340</v>
      </c>
      <c r="F266" s="446">
        <v>1</v>
      </c>
      <c r="G266" s="446"/>
      <c r="H266" s="385">
        <f t="shared" si="17"/>
        <v>1</v>
      </c>
    </row>
    <row r="267" spans="2:8" s="65" customFormat="1" ht="20.100000000000001" customHeight="1" x14ac:dyDescent="0.25">
      <c r="B267" s="447"/>
      <c r="C267" s="448"/>
      <c r="D267" s="61" t="s">
        <v>428</v>
      </c>
      <c r="E267" s="340" t="s">
        <v>340</v>
      </c>
      <c r="F267" s="446">
        <v>4</v>
      </c>
      <c r="G267" s="446"/>
      <c r="H267" s="385">
        <f t="shared" si="17"/>
        <v>4</v>
      </c>
    </row>
    <row r="268" spans="2:8" s="65" customFormat="1" ht="20.100000000000001" customHeight="1" x14ac:dyDescent="0.25">
      <c r="B268" s="447"/>
      <c r="C268" s="448"/>
      <c r="D268" s="61" t="s">
        <v>164</v>
      </c>
      <c r="E268" s="340" t="s">
        <v>340</v>
      </c>
      <c r="F268" s="446">
        <v>3</v>
      </c>
      <c r="G268" s="446"/>
      <c r="H268" s="385">
        <f t="shared" si="17"/>
        <v>3</v>
      </c>
    </row>
    <row r="269" spans="2:8" s="65" customFormat="1" ht="20.100000000000001" customHeight="1" x14ac:dyDescent="0.25">
      <c r="B269" s="447"/>
      <c r="C269" s="448"/>
      <c r="D269" s="61" t="s">
        <v>163</v>
      </c>
      <c r="E269" s="340" t="s">
        <v>340</v>
      </c>
      <c r="F269" s="446">
        <v>1</v>
      </c>
      <c r="G269" s="446"/>
      <c r="H269" s="385">
        <f t="shared" si="17"/>
        <v>1</v>
      </c>
    </row>
    <row r="270" spans="2:8" s="65" customFormat="1" ht="20.100000000000001" customHeight="1" x14ac:dyDescent="0.25">
      <c r="B270" s="447"/>
      <c r="C270" s="448"/>
      <c r="D270" s="61" t="s">
        <v>382</v>
      </c>
      <c r="E270" s="340" t="s">
        <v>340</v>
      </c>
      <c r="F270" s="446">
        <v>3</v>
      </c>
      <c r="G270" s="446"/>
      <c r="H270" s="385">
        <f t="shared" si="17"/>
        <v>3</v>
      </c>
    </row>
    <row r="271" spans="2:8" s="65" customFormat="1" ht="20.100000000000001" customHeight="1" x14ac:dyDescent="0.25">
      <c r="B271" s="447"/>
      <c r="C271" s="448"/>
      <c r="D271" s="61" t="s">
        <v>439</v>
      </c>
      <c r="E271" s="340" t="s">
        <v>340</v>
      </c>
      <c r="F271" s="446">
        <v>1</v>
      </c>
      <c r="G271" s="446"/>
      <c r="H271" s="385">
        <f t="shared" si="17"/>
        <v>1</v>
      </c>
    </row>
    <row r="272" spans="2:8" s="65" customFormat="1" ht="20.100000000000001" customHeight="1" x14ac:dyDescent="0.25">
      <c r="B272" s="447"/>
      <c r="C272" s="448"/>
      <c r="D272" s="61" t="s">
        <v>439</v>
      </c>
      <c r="E272" s="340" t="s">
        <v>340</v>
      </c>
      <c r="F272" s="446">
        <v>1</v>
      </c>
      <c r="G272" s="446"/>
      <c r="H272" s="385">
        <f t="shared" si="17"/>
        <v>1</v>
      </c>
    </row>
    <row r="273" spans="2:8" s="65" customFormat="1" ht="20.100000000000001" customHeight="1" x14ac:dyDescent="0.25">
      <c r="B273" s="447"/>
      <c r="C273" s="448"/>
      <c r="D273" s="61" t="s">
        <v>434</v>
      </c>
      <c r="E273" s="340" t="s">
        <v>340</v>
      </c>
      <c r="F273" s="446">
        <v>1</v>
      </c>
      <c r="G273" s="446"/>
      <c r="H273" s="385">
        <f t="shared" si="17"/>
        <v>1</v>
      </c>
    </row>
    <row r="274" spans="2:8" s="65" customFormat="1" ht="20.100000000000001" customHeight="1" x14ac:dyDescent="0.25">
      <c r="B274" s="447"/>
      <c r="C274" s="448"/>
      <c r="D274" s="61" t="s">
        <v>435</v>
      </c>
      <c r="E274" s="340" t="s">
        <v>340</v>
      </c>
      <c r="F274" s="446">
        <v>1</v>
      </c>
      <c r="G274" s="446"/>
      <c r="H274" s="385">
        <f t="shared" si="17"/>
        <v>1</v>
      </c>
    </row>
    <row r="275" spans="2:8" s="65" customFormat="1" ht="20.100000000000001" customHeight="1" x14ac:dyDescent="0.25">
      <c r="B275" s="447"/>
      <c r="C275" s="448"/>
      <c r="D275" s="61" t="s">
        <v>436</v>
      </c>
      <c r="E275" s="340" t="s">
        <v>340</v>
      </c>
      <c r="F275" s="446">
        <v>1</v>
      </c>
      <c r="G275" s="446"/>
      <c r="H275" s="385">
        <f t="shared" si="17"/>
        <v>1</v>
      </c>
    </row>
    <row r="276" spans="2:8" s="65" customFormat="1" ht="20.100000000000001" customHeight="1" x14ac:dyDescent="0.25">
      <c r="B276" s="447"/>
      <c r="C276" s="448"/>
      <c r="D276" s="61" t="s">
        <v>438</v>
      </c>
      <c r="E276" s="340" t="s">
        <v>340</v>
      </c>
      <c r="F276" s="446">
        <v>5</v>
      </c>
      <c r="G276" s="446"/>
      <c r="H276" s="385">
        <f t="shared" si="17"/>
        <v>5</v>
      </c>
    </row>
    <row r="277" spans="2:8" s="65" customFormat="1" ht="20.100000000000001" customHeight="1" x14ac:dyDescent="0.25">
      <c r="B277" s="447"/>
      <c r="C277" s="448"/>
      <c r="D277" s="61" t="s">
        <v>360</v>
      </c>
      <c r="E277" s="340" t="s">
        <v>340</v>
      </c>
      <c r="F277" s="446">
        <v>1</v>
      </c>
      <c r="G277" s="446"/>
      <c r="H277" s="385">
        <f t="shared" si="17"/>
        <v>1</v>
      </c>
    </row>
    <row r="278" spans="2:8" s="65" customFormat="1" ht="20.100000000000001" customHeight="1" x14ac:dyDescent="0.25">
      <c r="B278" s="447"/>
      <c r="C278" s="448"/>
      <c r="D278" s="61" t="s">
        <v>441</v>
      </c>
      <c r="E278" s="340" t="s">
        <v>340</v>
      </c>
      <c r="F278" s="446">
        <v>1</v>
      </c>
      <c r="G278" s="446"/>
      <c r="H278" s="385">
        <f t="shared" si="17"/>
        <v>1</v>
      </c>
    </row>
    <row r="279" spans="2:8" s="65" customFormat="1" ht="20.100000000000001" customHeight="1" x14ac:dyDescent="0.25">
      <c r="B279" s="447"/>
      <c r="C279" s="448"/>
      <c r="D279" s="61" t="s">
        <v>141</v>
      </c>
      <c r="E279" s="340" t="s">
        <v>340</v>
      </c>
      <c r="F279" s="446">
        <v>1</v>
      </c>
      <c r="G279" s="446"/>
      <c r="H279" s="385">
        <f t="shared" si="17"/>
        <v>1</v>
      </c>
    </row>
    <row r="280" spans="2:8" s="65" customFormat="1" ht="20.100000000000001" customHeight="1" x14ac:dyDescent="0.25">
      <c r="B280" s="447"/>
      <c r="C280" s="448"/>
      <c r="D280" s="61" t="s">
        <v>193</v>
      </c>
      <c r="E280" s="340" t="s">
        <v>340</v>
      </c>
      <c r="F280" s="446">
        <v>1</v>
      </c>
      <c r="G280" s="446"/>
      <c r="H280" s="385">
        <f t="shared" si="17"/>
        <v>1</v>
      </c>
    </row>
    <row r="281" spans="2:8" s="65" customFormat="1" ht="20.100000000000001" customHeight="1" x14ac:dyDescent="0.25">
      <c r="B281" s="447"/>
      <c r="C281" s="448"/>
      <c r="D281" s="61" t="s">
        <v>194</v>
      </c>
      <c r="E281" s="340" t="s">
        <v>340</v>
      </c>
      <c r="F281" s="446">
        <v>1</v>
      </c>
      <c r="G281" s="446"/>
      <c r="H281" s="385">
        <f t="shared" si="17"/>
        <v>1</v>
      </c>
    </row>
    <row r="282" spans="2:8" s="65" customFormat="1" ht="42.75" customHeight="1" x14ac:dyDescent="0.25">
      <c r="B282" s="394" t="s">
        <v>738</v>
      </c>
      <c r="C282" s="179">
        <v>20140</v>
      </c>
      <c r="D282" s="77" t="s">
        <v>445</v>
      </c>
      <c r="E282" s="75" t="s">
        <v>340</v>
      </c>
      <c r="F282" s="481" t="s">
        <v>308</v>
      </c>
      <c r="G282" s="481"/>
      <c r="H282" s="387">
        <f>SUM(H283:H296)</f>
        <v>53</v>
      </c>
    </row>
    <row r="283" spans="2:8" s="65" customFormat="1" ht="20.100000000000001" customHeight="1" x14ac:dyDescent="0.25">
      <c r="B283" s="447"/>
      <c r="C283" s="448"/>
      <c r="D283" s="61" t="s">
        <v>442</v>
      </c>
      <c r="E283" s="340" t="s">
        <v>340</v>
      </c>
      <c r="F283" s="446">
        <v>6</v>
      </c>
      <c r="G283" s="446"/>
      <c r="H283" s="385">
        <f>F283</f>
        <v>6</v>
      </c>
    </row>
    <row r="284" spans="2:8" s="65" customFormat="1" ht="20.100000000000001" customHeight="1" x14ac:dyDescent="0.25">
      <c r="B284" s="447"/>
      <c r="C284" s="448"/>
      <c r="D284" s="61" t="s">
        <v>205</v>
      </c>
      <c r="E284" s="340" t="s">
        <v>340</v>
      </c>
      <c r="F284" s="446">
        <v>8</v>
      </c>
      <c r="G284" s="446"/>
      <c r="H284" s="385">
        <f t="shared" ref="H284:H296" si="18">F284</f>
        <v>8</v>
      </c>
    </row>
    <row r="285" spans="2:8" s="65" customFormat="1" ht="20.100000000000001" customHeight="1" x14ac:dyDescent="0.25">
      <c r="B285" s="447"/>
      <c r="C285" s="448"/>
      <c r="D285" s="61" t="s">
        <v>425</v>
      </c>
      <c r="E285" s="340" t="s">
        <v>340</v>
      </c>
      <c r="F285" s="446">
        <v>1</v>
      </c>
      <c r="G285" s="446"/>
      <c r="H285" s="385">
        <f t="shared" si="18"/>
        <v>1</v>
      </c>
    </row>
    <row r="286" spans="2:8" s="65" customFormat="1" ht="20.100000000000001" customHeight="1" x14ac:dyDescent="0.25">
      <c r="B286" s="447"/>
      <c r="C286" s="448"/>
      <c r="D286" s="61" t="s">
        <v>164</v>
      </c>
      <c r="E286" s="340" t="s">
        <v>340</v>
      </c>
      <c r="F286" s="446">
        <v>4</v>
      </c>
      <c r="G286" s="446"/>
      <c r="H286" s="385">
        <f t="shared" si="18"/>
        <v>4</v>
      </c>
    </row>
    <row r="287" spans="2:8" s="65" customFormat="1" ht="20.100000000000001" customHeight="1" x14ac:dyDescent="0.25">
      <c r="B287" s="447"/>
      <c r="C287" s="448"/>
      <c r="D287" s="61" t="s">
        <v>163</v>
      </c>
      <c r="E287" s="340" t="s">
        <v>340</v>
      </c>
      <c r="F287" s="446">
        <v>2</v>
      </c>
      <c r="G287" s="446"/>
      <c r="H287" s="385">
        <f t="shared" si="18"/>
        <v>2</v>
      </c>
    </row>
    <row r="288" spans="2:8" s="65" customFormat="1" ht="20.100000000000001" customHeight="1" x14ac:dyDescent="0.25">
      <c r="B288" s="447"/>
      <c r="C288" s="448"/>
      <c r="D288" s="61" t="s">
        <v>439</v>
      </c>
      <c r="E288" s="340" t="s">
        <v>340</v>
      </c>
      <c r="F288" s="446">
        <v>2</v>
      </c>
      <c r="G288" s="446"/>
      <c r="H288" s="385">
        <f t="shared" si="18"/>
        <v>2</v>
      </c>
    </row>
    <row r="289" spans="2:8" s="65" customFormat="1" ht="20.100000000000001" customHeight="1" x14ac:dyDescent="0.25">
      <c r="B289" s="447"/>
      <c r="C289" s="448"/>
      <c r="D289" s="61" t="s">
        <v>444</v>
      </c>
      <c r="E289" s="340" t="s">
        <v>340</v>
      </c>
      <c r="F289" s="446">
        <v>2</v>
      </c>
      <c r="G289" s="446"/>
      <c r="H289" s="385">
        <f t="shared" si="18"/>
        <v>2</v>
      </c>
    </row>
    <row r="290" spans="2:8" s="65" customFormat="1" ht="20.100000000000001" customHeight="1" x14ac:dyDescent="0.25">
      <c r="B290" s="447"/>
      <c r="C290" s="448"/>
      <c r="D290" s="61" t="s">
        <v>434</v>
      </c>
      <c r="E290" s="340" t="s">
        <v>340</v>
      </c>
      <c r="F290" s="446">
        <v>2</v>
      </c>
      <c r="G290" s="446"/>
      <c r="H290" s="385">
        <f t="shared" si="18"/>
        <v>2</v>
      </c>
    </row>
    <row r="291" spans="2:8" s="65" customFormat="1" ht="25.5" customHeight="1" x14ac:dyDescent="0.25">
      <c r="B291" s="447"/>
      <c r="C291" s="448"/>
      <c r="D291" s="61" t="s">
        <v>435</v>
      </c>
      <c r="E291" s="340" t="s">
        <v>340</v>
      </c>
      <c r="F291" s="446">
        <v>2</v>
      </c>
      <c r="G291" s="446"/>
      <c r="H291" s="385">
        <f t="shared" si="18"/>
        <v>2</v>
      </c>
    </row>
    <row r="292" spans="2:8" s="65" customFormat="1" ht="20.100000000000001" customHeight="1" x14ac:dyDescent="0.25">
      <c r="B292" s="447"/>
      <c r="C292" s="448"/>
      <c r="D292" s="61" t="s">
        <v>440</v>
      </c>
      <c r="E292" s="340" t="s">
        <v>340</v>
      </c>
      <c r="F292" s="446">
        <v>2</v>
      </c>
      <c r="G292" s="446"/>
      <c r="H292" s="385">
        <f t="shared" si="18"/>
        <v>2</v>
      </c>
    </row>
    <row r="293" spans="2:8" s="65" customFormat="1" ht="20.100000000000001" customHeight="1" x14ac:dyDescent="0.25">
      <c r="B293" s="447"/>
      <c r="C293" s="448"/>
      <c r="D293" s="61" t="s">
        <v>360</v>
      </c>
      <c r="E293" s="340" t="s">
        <v>340</v>
      </c>
      <c r="F293" s="446">
        <v>8</v>
      </c>
      <c r="G293" s="446"/>
      <c r="H293" s="385">
        <f t="shared" si="18"/>
        <v>8</v>
      </c>
    </row>
    <row r="294" spans="2:8" s="65" customFormat="1" ht="20.100000000000001" customHeight="1" x14ac:dyDescent="0.25">
      <c r="B294" s="447"/>
      <c r="C294" s="448"/>
      <c r="D294" s="61" t="s">
        <v>441</v>
      </c>
      <c r="E294" s="340" t="s">
        <v>340</v>
      </c>
      <c r="F294" s="446">
        <v>2</v>
      </c>
      <c r="G294" s="446"/>
      <c r="H294" s="385">
        <f t="shared" si="18"/>
        <v>2</v>
      </c>
    </row>
    <row r="295" spans="2:8" s="65" customFormat="1" ht="20.100000000000001" customHeight="1" x14ac:dyDescent="0.25">
      <c r="B295" s="447"/>
      <c r="C295" s="448"/>
      <c r="D295" s="61" t="s">
        <v>193</v>
      </c>
      <c r="E295" s="340" t="s">
        <v>340</v>
      </c>
      <c r="F295" s="446">
        <v>6</v>
      </c>
      <c r="G295" s="446"/>
      <c r="H295" s="385">
        <f t="shared" si="18"/>
        <v>6</v>
      </c>
    </row>
    <row r="296" spans="2:8" s="65" customFormat="1" ht="20.100000000000001" customHeight="1" x14ac:dyDescent="0.25">
      <c r="B296" s="447"/>
      <c r="C296" s="448"/>
      <c r="D296" s="61" t="s">
        <v>194</v>
      </c>
      <c r="E296" s="340" t="s">
        <v>340</v>
      </c>
      <c r="F296" s="446">
        <v>6</v>
      </c>
      <c r="G296" s="446"/>
      <c r="H296" s="385">
        <f t="shared" si="18"/>
        <v>6</v>
      </c>
    </row>
    <row r="297" spans="2:8" s="65" customFormat="1" ht="31.5" x14ac:dyDescent="0.25">
      <c r="B297" s="394" t="s">
        <v>739</v>
      </c>
      <c r="C297" s="179">
        <v>21301</v>
      </c>
      <c r="D297" s="77" t="s">
        <v>198</v>
      </c>
      <c r="E297" s="75" t="s">
        <v>24</v>
      </c>
      <c r="F297" s="342" t="s">
        <v>26</v>
      </c>
      <c r="G297" s="342" t="s">
        <v>27</v>
      </c>
      <c r="H297" s="387">
        <f>H298</f>
        <v>3</v>
      </c>
    </row>
    <row r="298" spans="2:8" s="65" customFormat="1" ht="20.100000000000001" customHeight="1" x14ac:dyDescent="0.25">
      <c r="B298" s="447"/>
      <c r="C298" s="448"/>
      <c r="D298" s="61" t="s">
        <v>199</v>
      </c>
      <c r="E298" s="340" t="s">
        <v>24</v>
      </c>
      <c r="F298" s="331">
        <v>2</v>
      </c>
      <c r="G298" s="331">
        <v>1.5</v>
      </c>
      <c r="H298" s="385">
        <f>G298*F298</f>
        <v>3</v>
      </c>
    </row>
    <row r="299" spans="2:8" s="65" customFormat="1" ht="20.100000000000001" customHeight="1" x14ac:dyDescent="0.25">
      <c r="B299" s="394" t="s">
        <v>740</v>
      </c>
      <c r="C299" s="179">
        <v>20157</v>
      </c>
      <c r="D299" s="77" t="s">
        <v>711</v>
      </c>
      <c r="E299" s="75" t="s">
        <v>24</v>
      </c>
      <c r="F299" s="342" t="s">
        <v>712</v>
      </c>
      <c r="G299" s="342" t="s">
        <v>26</v>
      </c>
      <c r="H299" s="387">
        <f>H300</f>
        <v>24.524999999999999</v>
      </c>
    </row>
    <row r="300" spans="2:8" s="65" customFormat="1" ht="20.100000000000001" customHeight="1" x14ac:dyDescent="0.25">
      <c r="B300" s="447"/>
      <c r="C300" s="448"/>
      <c r="D300" s="61" t="s">
        <v>427</v>
      </c>
      <c r="E300" s="340" t="s">
        <v>24</v>
      </c>
      <c r="F300" s="331">
        <v>0.5</v>
      </c>
      <c r="G300" s="331">
        <v>49.05</v>
      </c>
      <c r="H300" s="385">
        <f>G300*F300</f>
        <v>24.524999999999999</v>
      </c>
    </row>
    <row r="301" spans="2:8" s="65" customFormat="1" ht="20.100000000000001" customHeight="1" x14ac:dyDescent="0.25">
      <c r="B301" s="394" t="s">
        <v>1232</v>
      </c>
      <c r="C301" s="179">
        <v>20137</v>
      </c>
      <c r="D301" s="77" t="s">
        <v>1233</v>
      </c>
      <c r="E301" s="75" t="s">
        <v>340</v>
      </c>
      <c r="F301" s="574" t="s">
        <v>308</v>
      </c>
      <c r="G301" s="575"/>
      <c r="H301" s="387">
        <f>SUM(H303,H302)</f>
        <v>6</v>
      </c>
    </row>
    <row r="302" spans="2:8" s="65" customFormat="1" ht="20.100000000000001" customHeight="1" x14ac:dyDescent="0.25">
      <c r="B302" s="465"/>
      <c r="C302" s="466"/>
      <c r="D302" s="61" t="s">
        <v>144</v>
      </c>
      <c r="E302" s="340" t="s">
        <v>340</v>
      </c>
      <c r="F302" s="461">
        <v>3</v>
      </c>
      <c r="G302" s="462"/>
      <c r="H302" s="385">
        <f>F302</f>
        <v>3</v>
      </c>
    </row>
    <row r="303" spans="2:8" s="65" customFormat="1" ht="20.100000000000001" customHeight="1" x14ac:dyDescent="0.25">
      <c r="B303" s="467"/>
      <c r="C303" s="468"/>
      <c r="D303" s="61" t="s">
        <v>143</v>
      </c>
      <c r="E303" s="340" t="s">
        <v>340</v>
      </c>
      <c r="F303" s="461">
        <v>3</v>
      </c>
      <c r="G303" s="462"/>
      <c r="H303" s="385">
        <f>F303</f>
        <v>3</v>
      </c>
    </row>
    <row r="304" spans="2:8" s="65" customFormat="1" ht="20.100000000000001" customHeight="1" x14ac:dyDescent="0.25">
      <c r="B304" s="457" t="s">
        <v>216</v>
      </c>
      <c r="C304" s="458"/>
      <c r="D304" s="459"/>
      <c r="E304" s="459"/>
      <c r="F304" s="459"/>
      <c r="G304" s="459"/>
      <c r="H304" s="460"/>
    </row>
    <row r="305" spans="2:8" s="65" customFormat="1" ht="20.100000000000001" customHeight="1" x14ac:dyDescent="0.25">
      <c r="B305" s="377">
        <v>2</v>
      </c>
      <c r="C305" s="233">
        <v>30000</v>
      </c>
      <c r="D305" s="458" t="s">
        <v>57</v>
      </c>
      <c r="E305" s="458"/>
      <c r="F305" s="458"/>
      <c r="G305" s="458"/>
      <c r="H305" s="395" t="s">
        <v>6</v>
      </c>
    </row>
    <row r="306" spans="2:8" s="65" customFormat="1" ht="20.100000000000001" customHeight="1" x14ac:dyDescent="0.25">
      <c r="B306" s="386" t="s">
        <v>17</v>
      </c>
      <c r="C306" s="163">
        <v>30104</v>
      </c>
      <c r="D306" s="74" t="s">
        <v>262</v>
      </c>
      <c r="E306" s="75" t="s">
        <v>340</v>
      </c>
      <c r="F306" s="342" t="s">
        <v>289</v>
      </c>
      <c r="G306" s="342" t="s">
        <v>261</v>
      </c>
      <c r="H306" s="381">
        <f>SUM(H307:H322)</f>
        <v>125.10809999999999</v>
      </c>
    </row>
    <row r="307" spans="2:8" s="65" customFormat="1" ht="20.100000000000001" customHeight="1" x14ac:dyDescent="0.25">
      <c r="B307" s="388"/>
      <c r="C307" s="277"/>
      <c r="D307" s="61" t="s">
        <v>35</v>
      </c>
      <c r="E307" s="340" t="s">
        <v>24</v>
      </c>
      <c r="F307" s="331">
        <v>64.72</v>
      </c>
      <c r="G307" s="331">
        <v>0.01</v>
      </c>
      <c r="H307" s="385">
        <f t="shared" ref="H307:H322" si="19">(G307*F307)+(G307*F307*0.3)</f>
        <v>0.84136</v>
      </c>
    </row>
    <row r="308" spans="2:8" s="65" customFormat="1" ht="29.25" customHeight="1" x14ac:dyDescent="0.25">
      <c r="B308" s="389"/>
      <c r="C308" s="278"/>
      <c r="D308" s="61" t="s">
        <v>36</v>
      </c>
      <c r="E308" s="340" t="s">
        <v>24</v>
      </c>
      <c r="F308" s="331">
        <v>32.21</v>
      </c>
      <c r="G308" s="331">
        <v>0.01</v>
      </c>
      <c r="H308" s="385">
        <f t="shared" si="19"/>
        <v>0.41872999999999999</v>
      </c>
    </row>
    <row r="309" spans="2:8" s="65" customFormat="1" ht="20.100000000000001" customHeight="1" x14ac:dyDescent="0.25">
      <c r="B309" s="389"/>
      <c r="C309" s="278"/>
      <c r="D309" s="61" t="s">
        <v>37</v>
      </c>
      <c r="E309" s="340" t="s">
        <v>24</v>
      </c>
      <c r="F309" s="331">
        <v>9.98</v>
      </c>
      <c r="G309" s="331">
        <v>0.05</v>
      </c>
      <c r="H309" s="385">
        <f t="shared" si="19"/>
        <v>0.64870000000000005</v>
      </c>
    </row>
    <row r="310" spans="2:8" s="65" customFormat="1" ht="29.25" customHeight="1" x14ac:dyDescent="0.25">
      <c r="B310" s="389"/>
      <c r="C310" s="278"/>
      <c r="D310" s="61" t="s">
        <v>140</v>
      </c>
      <c r="E310" s="340" t="s">
        <v>24</v>
      </c>
      <c r="F310" s="331">
        <v>103.04</v>
      </c>
      <c r="G310" s="331">
        <v>0.01</v>
      </c>
      <c r="H310" s="385">
        <f t="shared" si="19"/>
        <v>1.33952</v>
      </c>
    </row>
    <row r="311" spans="2:8" s="65" customFormat="1" ht="20.100000000000001" customHeight="1" x14ac:dyDescent="0.25">
      <c r="B311" s="389"/>
      <c r="C311" s="278"/>
      <c r="D311" s="61" t="s">
        <v>139</v>
      </c>
      <c r="E311" s="340" t="s">
        <v>24</v>
      </c>
      <c r="F311" s="331">
        <v>987.37</v>
      </c>
      <c r="G311" s="331">
        <v>0.05</v>
      </c>
      <c r="H311" s="385">
        <f t="shared" si="19"/>
        <v>64.179050000000004</v>
      </c>
    </row>
    <row r="312" spans="2:8" s="65" customFormat="1" ht="20.100000000000001" customHeight="1" x14ac:dyDescent="0.25">
      <c r="B312" s="389"/>
      <c r="C312" s="278"/>
      <c r="D312" s="61" t="s">
        <v>138</v>
      </c>
      <c r="E312" s="340" t="s">
        <v>24</v>
      </c>
      <c r="F312" s="331">
        <v>554.29999999999995</v>
      </c>
      <c r="G312" s="331">
        <v>0.01</v>
      </c>
      <c r="H312" s="385">
        <f t="shared" si="19"/>
        <v>7.2058999999999989</v>
      </c>
    </row>
    <row r="313" spans="2:8" s="65" customFormat="1" ht="20.100000000000001" customHeight="1" x14ac:dyDescent="0.25">
      <c r="B313" s="389"/>
      <c r="C313" s="278"/>
      <c r="D313" s="61" t="s">
        <v>165</v>
      </c>
      <c r="E313" s="340" t="s">
        <v>24</v>
      </c>
      <c r="F313" s="331">
        <v>313.37</v>
      </c>
      <c r="G313" s="331">
        <v>0.01</v>
      </c>
      <c r="H313" s="385">
        <f t="shared" si="19"/>
        <v>4.0738099999999999</v>
      </c>
    </row>
    <row r="314" spans="2:8" s="65" customFormat="1" ht="20.100000000000001" customHeight="1" x14ac:dyDescent="0.25">
      <c r="B314" s="389"/>
      <c r="C314" s="278"/>
      <c r="D314" s="61" t="s">
        <v>380</v>
      </c>
      <c r="E314" s="340" t="s">
        <v>24</v>
      </c>
      <c r="F314" s="331">
        <v>1081.3599999999999</v>
      </c>
      <c r="G314" s="331">
        <v>0.02</v>
      </c>
      <c r="H314" s="385">
        <f t="shared" si="19"/>
        <v>28.115359999999999</v>
      </c>
    </row>
    <row r="315" spans="2:8" s="65" customFormat="1" ht="20.100000000000001" customHeight="1" x14ac:dyDescent="0.25">
      <c r="B315" s="389"/>
      <c r="C315" s="278"/>
      <c r="D315" s="61" t="s">
        <v>170</v>
      </c>
      <c r="E315" s="340" t="s">
        <v>100</v>
      </c>
      <c r="F315" s="331">
        <v>35.119999999999997</v>
      </c>
      <c r="G315" s="331">
        <v>0.14000000000000001</v>
      </c>
      <c r="H315" s="385">
        <f t="shared" si="19"/>
        <v>6.3918400000000002</v>
      </c>
    </row>
    <row r="316" spans="2:8" s="65" customFormat="1" ht="20.100000000000001" customHeight="1" x14ac:dyDescent="0.25">
      <c r="B316" s="389"/>
      <c r="C316" s="278"/>
      <c r="D316" s="61" t="s">
        <v>179</v>
      </c>
      <c r="E316" s="340" t="s">
        <v>24</v>
      </c>
      <c r="F316" s="331">
        <v>143.82</v>
      </c>
      <c r="G316" s="331">
        <v>0.01</v>
      </c>
      <c r="H316" s="385">
        <f t="shared" si="19"/>
        <v>1.8696599999999999</v>
      </c>
    </row>
    <row r="317" spans="2:8" s="65" customFormat="1" ht="20.100000000000001" customHeight="1" x14ac:dyDescent="0.25">
      <c r="B317" s="389"/>
      <c r="C317" s="278"/>
      <c r="D317" s="61" t="s">
        <v>182</v>
      </c>
      <c r="E317" s="340" t="s">
        <v>100</v>
      </c>
      <c r="F317" s="331">
        <v>15.6</v>
      </c>
      <c r="G317" s="331">
        <v>0.05</v>
      </c>
      <c r="H317" s="385">
        <f t="shared" si="19"/>
        <v>1.014</v>
      </c>
    </row>
    <row r="318" spans="2:8" s="65" customFormat="1" ht="20.100000000000001" customHeight="1" x14ac:dyDescent="0.25">
      <c r="B318" s="389"/>
      <c r="C318" s="278"/>
      <c r="D318" s="61" t="s">
        <v>185</v>
      </c>
      <c r="E318" s="340" t="s">
        <v>24</v>
      </c>
      <c r="F318" s="331">
        <v>6.32</v>
      </c>
      <c r="G318" s="331">
        <v>0.03</v>
      </c>
      <c r="H318" s="385">
        <f t="shared" si="19"/>
        <v>0.24647999999999998</v>
      </c>
    </row>
    <row r="319" spans="2:8" s="65" customFormat="1" ht="20.100000000000001" customHeight="1" x14ac:dyDescent="0.25">
      <c r="B319" s="389"/>
      <c r="C319" s="278"/>
      <c r="D319" s="61" t="s">
        <v>188</v>
      </c>
      <c r="E319" s="340" t="s">
        <v>24</v>
      </c>
      <c r="F319" s="331">
        <v>211.73</v>
      </c>
      <c r="G319" s="331">
        <v>0.01</v>
      </c>
      <c r="H319" s="385">
        <f t="shared" si="19"/>
        <v>2.7524899999999999</v>
      </c>
    </row>
    <row r="320" spans="2:8" s="65" customFormat="1" ht="20.100000000000001" customHeight="1" x14ac:dyDescent="0.25">
      <c r="B320" s="389"/>
      <c r="C320" s="278"/>
      <c r="D320" s="61" t="s">
        <v>192</v>
      </c>
      <c r="E320" s="340" t="s">
        <v>24</v>
      </c>
      <c r="F320" s="331">
        <v>17.78</v>
      </c>
      <c r="G320" s="331">
        <v>0.03</v>
      </c>
      <c r="H320" s="385">
        <f t="shared" si="19"/>
        <v>0.69341999999999993</v>
      </c>
    </row>
    <row r="321" spans="2:8" s="65" customFormat="1" ht="27.75" customHeight="1" x14ac:dyDescent="0.25">
      <c r="B321" s="389"/>
      <c r="C321" s="278"/>
      <c r="D321" s="61" t="s">
        <v>196</v>
      </c>
      <c r="E321" s="340" t="s">
        <v>29</v>
      </c>
      <c r="F321" s="331">
        <v>30</v>
      </c>
      <c r="G321" s="331">
        <v>0.12</v>
      </c>
      <c r="H321" s="385">
        <f t="shared" si="19"/>
        <v>4.68</v>
      </c>
    </row>
    <row r="322" spans="2:8" s="65" customFormat="1" ht="20.100000000000001" customHeight="1" x14ac:dyDescent="0.25">
      <c r="B322" s="396"/>
      <c r="C322" s="322"/>
      <c r="D322" s="61" t="s">
        <v>711</v>
      </c>
      <c r="E322" s="340" t="s">
        <v>24</v>
      </c>
      <c r="F322" s="331">
        <v>24.53</v>
      </c>
      <c r="G322" s="331">
        <v>0.02</v>
      </c>
      <c r="H322" s="385">
        <f t="shared" si="19"/>
        <v>0.63778000000000001</v>
      </c>
    </row>
    <row r="323" spans="2:8" s="65" customFormat="1" ht="20.100000000000001" customHeight="1" x14ac:dyDescent="0.25">
      <c r="B323" s="457" t="s">
        <v>217</v>
      </c>
      <c r="C323" s="458"/>
      <c r="D323" s="459"/>
      <c r="E323" s="459"/>
      <c r="F323" s="459"/>
      <c r="G323" s="459"/>
      <c r="H323" s="460"/>
    </row>
    <row r="324" spans="2:8" s="65" customFormat="1" ht="20.100000000000001" customHeight="1" x14ac:dyDescent="0.25">
      <c r="B324" s="377">
        <v>3</v>
      </c>
      <c r="C324" s="233">
        <v>40000</v>
      </c>
      <c r="D324" s="491" t="s">
        <v>58</v>
      </c>
      <c r="E324" s="492"/>
      <c r="F324" s="492"/>
      <c r="G324" s="493"/>
      <c r="H324" s="395" t="s">
        <v>6</v>
      </c>
    </row>
    <row r="325" spans="2:8" s="65" customFormat="1" ht="20.100000000000001" customHeight="1" x14ac:dyDescent="0.25">
      <c r="B325" s="386" t="s">
        <v>18</v>
      </c>
      <c r="C325" s="163">
        <v>40103</v>
      </c>
      <c r="D325" s="78" t="s">
        <v>318</v>
      </c>
      <c r="E325" s="79" t="s">
        <v>100</v>
      </c>
      <c r="F325" s="342" t="s">
        <v>289</v>
      </c>
      <c r="G325" s="342" t="s">
        <v>31</v>
      </c>
      <c r="H325" s="387">
        <f>SUM(H327)</f>
        <v>0.248</v>
      </c>
    </row>
    <row r="326" spans="2:8" s="65" customFormat="1" ht="20.100000000000001" customHeight="1" x14ac:dyDescent="0.25">
      <c r="B326" s="471"/>
      <c r="C326" s="472"/>
      <c r="D326" s="169" t="s">
        <v>200</v>
      </c>
      <c r="E326" s="170" t="s">
        <v>100</v>
      </c>
      <c r="F326" s="203" t="s">
        <v>289</v>
      </c>
      <c r="G326" s="203" t="s">
        <v>31</v>
      </c>
      <c r="H326" s="397">
        <f>H327</f>
        <v>0.248</v>
      </c>
    </row>
    <row r="327" spans="2:8" s="65" customFormat="1" ht="20.100000000000001" customHeight="1" x14ac:dyDescent="0.25">
      <c r="B327" s="471"/>
      <c r="C327" s="472"/>
      <c r="D327" s="81" t="s">
        <v>288</v>
      </c>
      <c r="E327" s="82" t="s">
        <v>100</v>
      </c>
      <c r="F327" s="86">
        <v>3.1E-2</v>
      </c>
      <c r="G327" s="343">
        <v>2</v>
      </c>
      <c r="H327" s="391">
        <f>4*G327*F327</f>
        <v>0.248</v>
      </c>
    </row>
    <row r="328" spans="2:8" s="65" customFormat="1" ht="20.100000000000001" customHeight="1" x14ac:dyDescent="0.25">
      <c r="B328" s="386" t="s">
        <v>28</v>
      </c>
      <c r="C328" s="163">
        <v>41002</v>
      </c>
      <c r="D328" s="78" t="s">
        <v>319</v>
      </c>
      <c r="E328" s="330" t="s">
        <v>100</v>
      </c>
      <c r="F328" s="481" t="s">
        <v>289</v>
      </c>
      <c r="G328" s="481"/>
      <c r="H328" s="387">
        <f>H330</f>
        <v>0.12</v>
      </c>
    </row>
    <row r="329" spans="2:8" s="65" customFormat="1" ht="20.100000000000001" customHeight="1" x14ac:dyDescent="0.25">
      <c r="B329" s="471"/>
      <c r="C329" s="472"/>
      <c r="D329" s="169" t="s">
        <v>200</v>
      </c>
      <c r="E329" s="170" t="s">
        <v>100</v>
      </c>
      <c r="F329" s="494" t="s">
        <v>289</v>
      </c>
      <c r="G329" s="495"/>
      <c r="H329" s="398">
        <f>H330</f>
        <v>0.12</v>
      </c>
    </row>
    <row r="330" spans="2:8" s="65" customFormat="1" ht="20.100000000000001" customHeight="1" x14ac:dyDescent="0.25">
      <c r="B330" s="471"/>
      <c r="C330" s="472"/>
      <c r="D330" s="81" t="s">
        <v>288</v>
      </c>
      <c r="E330" s="67" t="s">
        <v>100</v>
      </c>
      <c r="F330" s="490">
        <v>0.03</v>
      </c>
      <c r="G330" s="490"/>
      <c r="H330" s="391">
        <f>F330*4</f>
        <v>0.12</v>
      </c>
    </row>
    <row r="331" spans="2:8" s="65" customFormat="1" ht="20.100000000000001" customHeight="1" x14ac:dyDescent="0.25">
      <c r="B331" s="457" t="s">
        <v>320</v>
      </c>
      <c r="C331" s="458"/>
      <c r="D331" s="459"/>
      <c r="E331" s="459"/>
      <c r="F331" s="459"/>
      <c r="G331" s="459"/>
      <c r="H331" s="460"/>
    </row>
    <row r="332" spans="2:8" s="65" customFormat="1" ht="20.100000000000001" customHeight="1" x14ac:dyDescent="0.25">
      <c r="B332" s="377">
        <v>4</v>
      </c>
      <c r="C332" s="233">
        <v>50000</v>
      </c>
      <c r="D332" s="458" t="s">
        <v>59</v>
      </c>
      <c r="E332" s="458"/>
      <c r="F332" s="458"/>
      <c r="G332" s="458"/>
      <c r="H332" s="500"/>
    </row>
    <row r="333" spans="2:8" s="65" customFormat="1" ht="20.100000000000001" customHeight="1" x14ac:dyDescent="0.25">
      <c r="B333" s="488"/>
      <c r="C333" s="489"/>
      <c r="D333" s="491" t="s">
        <v>286</v>
      </c>
      <c r="E333" s="492"/>
      <c r="F333" s="492"/>
      <c r="G333" s="493"/>
      <c r="H333" s="395" t="s">
        <v>755</v>
      </c>
    </row>
    <row r="334" spans="2:8" s="65" customFormat="1" ht="20.100000000000001" customHeight="1" x14ac:dyDescent="0.25">
      <c r="B334" s="386" t="s">
        <v>19</v>
      </c>
      <c r="C334" s="163">
        <v>50901</v>
      </c>
      <c r="D334" s="78" t="s">
        <v>99</v>
      </c>
      <c r="E334" s="79" t="s">
        <v>100</v>
      </c>
      <c r="F334" s="342" t="s">
        <v>289</v>
      </c>
      <c r="G334" s="342" t="s">
        <v>31</v>
      </c>
      <c r="H334" s="387">
        <f>SUM(H336)</f>
        <v>0.248</v>
      </c>
    </row>
    <row r="335" spans="2:8" s="65" customFormat="1" ht="20.100000000000001" customHeight="1" x14ac:dyDescent="0.25">
      <c r="B335" s="496"/>
      <c r="C335" s="497"/>
      <c r="D335" s="169" t="s">
        <v>200</v>
      </c>
      <c r="E335" s="170" t="s">
        <v>100</v>
      </c>
      <c r="F335" s="167" t="s">
        <v>289</v>
      </c>
      <c r="G335" s="167" t="s">
        <v>31</v>
      </c>
      <c r="H335" s="399">
        <f>H336</f>
        <v>0.248</v>
      </c>
    </row>
    <row r="336" spans="2:8" s="65" customFormat="1" ht="20.100000000000001" customHeight="1" x14ac:dyDescent="0.25">
      <c r="B336" s="498"/>
      <c r="C336" s="499"/>
      <c r="D336" s="83" t="s">
        <v>294</v>
      </c>
      <c r="E336" s="82" t="s">
        <v>100</v>
      </c>
      <c r="F336" s="85">
        <v>3.1E-2</v>
      </c>
      <c r="G336" s="343">
        <v>2</v>
      </c>
      <c r="H336" s="391">
        <f>4*G336*F336</f>
        <v>0.248</v>
      </c>
    </row>
    <row r="337" spans="2:8" s="65" customFormat="1" ht="20.100000000000001" customHeight="1" x14ac:dyDescent="0.25">
      <c r="B337" s="386" t="s">
        <v>98</v>
      </c>
      <c r="C337" s="163">
        <v>51024</v>
      </c>
      <c r="D337" s="78" t="s">
        <v>290</v>
      </c>
      <c r="E337" s="330" t="s">
        <v>100</v>
      </c>
      <c r="F337" s="342" t="s">
        <v>260</v>
      </c>
      <c r="G337" s="342" t="s">
        <v>261</v>
      </c>
      <c r="H337" s="400">
        <f>H339</f>
        <v>6.0000000000000001E-3</v>
      </c>
    </row>
    <row r="338" spans="2:8" s="65" customFormat="1" ht="20.100000000000001" customHeight="1" x14ac:dyDescent="0.25">
      <c r="B338" s="447"/>
      <c r="C338" s="448"/>
      <c r="D338" s="169" t="s">
        <v>200</v>
      </c>
      <c r="E338" s="170" t="s">
        <v>100</v>
      </c>
      <c r="F338" s="167" t="s">
        <v>289</v>
      </c>
      <c r="G338" s="167" t="s">
        <v>261</v>
      </c>
      <c r="H338" s="399">
        <f>H339</f>
        <v>6.0000000000000001E-3</v>
      </c>
    </row>
    <row r="339" spans="2:8" s="65" customFormat="1" ht="20.100000000000001" customHeight="1" x14ac:dyDescent="0.25">
      <c r="B339" s="447"/>
      <c r="C339" s="448"/>
      <c r="D339" s="81" t="s">
        <v>288</v>
      </c>
      <c r="E339" s="67" t="s">
        <v>100</v>
      </c>
      <c r="F339" s="338">
        <v>0.03</v>
      </c>
      <c r="G339" s="84">
        <v>0.05</v>
      </c>
      <c r="H339" s="401">
        <f>4*G339*F339</f>
        <v>6.0000000000000001E-3</v>
      </c>
    </row>
    <row r="340" spans="2:8" s="65" customFormat="1" ht="20.100000000000001" customHeight="1" x14ac:dyDescent="0.25">
      <c r="B340" s="386" t="s">
        <v>101</v>
      </c>
      <c r="C340" s="163">
        <v>52004</v>
      </c>
      <c r="D340" s="78" t="s">
        <v>291</v>
      </c>
      <c r="E340" s="330" t="s">
        <v>201</v>
      </c>
      <c r="F340" s="342" t="s">
        <v>26</v>
      </c>
      <c r="G340" s="342" t="s">
        <v>287</v>
      </c>
      <c r="H340" s="387">
        <f>H342</f>
        <v>2.4000000000000004</v>
      </c>
    </row>
    <row r="341" spans="2:8" s="65" customFormat="1" ht="20.100000000000001" customHeight="1" x14ac:dyDescent="0.25">
      <c r="B341" s="447"/>
      <c r="C341" s="448"/>
      <c r="D341" s="169" t="s">
        <v>200</v>
      </c>
      <c r="E341" s="170" t="s">
        <v>201</v>
      </c>
      <c r="F341" s="167" t="s">
        <v>26</v>
      </c>
      <c r="G341" s="167" t="s">
        <v>287</v>
      </c>
      <c r="H341" s="399">
        <f>H342</f>
        <v>2.4000000000000004</v>
      </c>
    </row>
    <row r="342" spans="2:8" s="65" customFormat="1" ht="20.100000000000001" customHeight="1" x14ac:dyDescent="0.25">
      <c r="B342" s="447"/>
      <c r="C342" s="448"/>
      <c r="D342" s="81" t="s">
        <v>288</v>
      </c>
      <c r="E342" s="67" t="s">
        <v>201</v>
      </c>
      <c r="F342" s="331">
        <f>1.5</f>
        <v>1.5</v>
      </c>
      <c r="G342" s="331">
        <v>0.4</v>
      </c>
      <c r="H342" s="402">
        <f>G342*F342*4</f>
        <v>2.4000000000000004</v>
      </c>
    </row>
    <row r="343" spans="2:8" s="65" customFormat="1" ht="20.100000000000001" customHeight="1" x14ac:dyDescent="0.25">
      <c r="B343" s="386" t="s">
        <v>102</v>
      </c>
      <c r="C343" s="163">
        <v>51032</v>
      </c>
      <c r="D343" s="78" t="s">
        <v>292</v>
      </c>
      <c r="E343" s="330" t="s">
        <v>100</v>
      </c>
      <c r="F343" s="342" t="s">
        <v>289</v>
      </c>
      <c r="G343" s="342" t="s">
        <v>31</v>
      </c>
      <c r="H343" s="387">
        <f>H345</f>
        <v>0.24</v>
      </c>
    </row>
    <row r="344" spans="2:8" s="65" customFormat="1" ht="20.100000000000001" customHeight="1" x14ac:dyDescent="0.25">
      <c r="B344" s="447"/>
      <c r="C344" s="448"/>
      <c r="D344" s="169" t="s">
        <v>200</v>
      </c>
      <c r="E344" s="170" t="s">
        <v>100</v>
      </c>
      <c r="F344" s="167" t="s">
        <v>289</v>
      </c>
      <c r="G344" s="167" t="s">
        <v>31</v>
      </c>
      <c r="H344" s="399">
        <f>H345</f>
        <v>0.24</v>
      </c>
    </row>
    <row r="345" spans="2:8" s="65" customFormat="1" ht="20.100000000000001" customHeight="1" x14ac:dyDescent="0.25">
      <c r="B345" s="447"/>
      <c r="C345" s="448"/>
      <c r="D345" s="81" t="s">
        <v>288</v>
      </c>
      <c r="E345" s="67" t="s">
        <v>100</v>
      </c>
      <c r="F345" s="331">
        <v>0.03</v>
      </c>
      <c r="G345" s="331">
        <v>2</v>
      </c>
      <c r="H345" s="402">
        <f>4*G345*F345</f>
        <v>0.24</v>
      </c>
    </row>
    <row r="346" spans="2:8" s="65" customFormat="1" ht="34.5" customHeight="1" x14ac:dyDescent="0.25">
      <c r="B346" s="488"/>
      <c r="C346" s="489"/>
      <c r="D346" s="491" t="s">
        <v>293</v>
      </c>
      <c r="E346" s="492"/>
      <c r="F346" s="492"/>
      <c r="G346" s="493"/>
      <c r="H346" s="395" t="s">
        <v>755</v>
      </c>
    </row>
    <row r="347" spans="2:8" s="65" customFormat="1" ht="20.100000000000001" customHeight="1" x14ac:dyDescent="0.25">
      <c r="B347" s="386" t="s">
        <v>103</v>
      </c>
      <c r="C347" s="163">
        <v>51009</v>
      </c>
      <c r="D347" s="78" t="s">
        <v>295</v>
      </c>
      <c r="E347" s="330" t="s">
        <v>24</v>
      </c>
      <c r="F347" s="481" t="s">
        <v>289</v>
      </c>
      <c r="G347" s="481"/>
      <c r="H347" s="387">
        <f>H349</f>
        <v>6.4</v>
      </c>
    </row>
    <row r="348" spans="2:8" s="65" customFormat="1" ht="20.100000000000001" customHeight="1" x14ac:dyDescent="0.25">
      <c r="B348" s="471"/>
      <c r="C348" s="472"/>
      <c r="D348" s="169" t="s">
        <v>200</v>
      </c>
      <c r="E348" s="170" t="s">
        <v>24</v>
      </c>
      <c r="F348" s="504" t="s">
        <v>289</v>
      </c>
      <c r="G348" s="505"/>
      <c r="H348" s="398">
        <f>H349</f>
        <v>6.4</v>
      </c>
    </row>
    <row r="349" spans="2:8" s="65" customFormat="1" ht="20.100000000000001" customHeight="1" x14ac:dyDescent="0.25">
      <c r="B349" s="471"/>
      <c r="C349" s="472"/>
      <c r="D349" s="83" t="s">
        <v>294</v>
      </c>
      <c r="E349" s="67" t="s">
        <v>24</v>
      </c>
      <c r="F349" s="490">
        <f>0.4*4</f>
        <v>1.6</v>
      </c>
      <c r="G349" s="490"/>
      <c r="H349" s="391">
        <f>F349*4</f>
        <v>6.4</v>
      </c>
    </row>
    <row r="350" spans="2:8" s="65" customFormat="1" ht="20.100000000000001" customHeight="1" x14ac:dyDescent="0.25">
      <c r="B350" s="386" t="s">
        <v>104</v>
      </c>
      <c r="C350" s="163">
        <v>52004</v>
      </c>
      <c r="D350" s="78" t="s">
        <v>291</v>
      </c>
      <c r="E350" s="330" t="s">
        <v>201</v>
      </c>
      <c r="F350" s="342" t="s">
        <v>26</v>
      </c>
      <c r="G350" s="342" t="s">
        <v>287</v>
      </c>
      <c r="H350" s="387">
        <f>H352</f>
        <v>19.552000000000003</v>
      </c>
    </row>
    <row r="351" spans="2:8" s="65" customFormat="1" ht="20.100000000000001" customHeight="1" x14ac:dyDescent="0.25">
      <c r="B351" s="447"/>
      <c r="C351" s="448"/>
      <c r="D351" s="169" t="s">
        <v>200</v>
      </c>
      <c r="E351" s="170" t="s">
        <v>201</v>
      </c>
      <c r="F351" s="272" t="s">
        <v>26</v>
      </c>
      <c r="G351" s="272" t="s">
        <v>287</v>
      </c>
      <c r="H351" s="399">
        <f>H352</f>
        <v>19.552000000000003</v>
      </c>
    </row>
    <row r="352" spans="2:8" s="65" customFormat="1" ht="20.25" customHeight="1" x14ac:dyDescent="0.25">
      <c r="B352" s="447"/>
      <c r="C352" s="448"/>
      <c r="D352" s="83" t="s">
        <v>294</v>
      </c>
      <c r="E352" s="67" t="s">
        <v>201</v>
      </c>
      <c r="F352" s="331">
        <f>(4*1.5)+(8*1.34)*4</f>
        <v>48.88</v>
      </c>
      <c r="G352" s="331">
        <v>0.4</v>
      </c>
      <c r="H352" s="402">
        <f>G352*F352</f>
        <v>19.552000000000003</v>
      </c>
    </row>
    <row r="353" spans="2:8" s="65" customFormat="1" ht="20.100000000000001" customHeight="1" x14ac:dyDescent="0.25">
      <c r="B353" s="386" t="s">
        <v>741</v>
      </c>
      <c r="C353" s="163">
        <v>51032</v>
      </c>
      <c r="D353" s="78" t="s">
        <v>292</v>
      </c>
      <c r="E353" s="330" t="s">
        <v>100</v>
      </c>
      <c r="F353" s="342" t="s">
        <v>289</v>
      </c>
      <c r="G353" s="342" t="s">
        <v>31</v>
      </c>
      <c r="H353" s="387">
        <f>H355</f>
        <v>0.25600000000000006</v>
      </c>
    </row>
    <row r="354" spans="2:8" s="65" customFormat="1" ht="20.100000000000001" customHeight="1" x14ac:dyDescent="0.25">
      <c r="B354" s="447"/>
      <c r="C354" s="448"/>
      <c r="D354" s="169" t="s">
        <v>200</v>
      </c>
      <c r="E354" s="170" t="s">
        <v>100</v>
      </c>
      <c r="F354" s="272" t="s">
        <v>289</v>
      </c>
      <c r="G354" s="272" t="s">
        <v>31</v>
      </c>
      <c r="H354" s="399">
        <f>H355</f>
        <v>0.25600000000000006</v>
      </c>
    </row>
    <row r="355" spans="2:8" s="65" customFormat="1" ht="20.100000000000001" customHeight="1" x14ac:dyDescent="0.25">
      <c r="B355" s="447"/>
      <c r="C355" s="448"/>
      <c r="D355" s="83" t="s">
        <v>294</v>
      </c>
      <c r="E355" s="67" t="s">
        <v>100</v>
      </c>
      <c r="F355" s="331">
        <f>0.4*0.4</f>
        <v>0.16000000000000003</v>
      </c>
      <c r="G355" s="331">
        <v>0.4</v>
      </c>
      <c r="H355" s="402">
        <f>4*G355*F355</f>
        <v>0.25600000000000006</v>
      </c>
    </row>
    <row r="356" spans="2:8" s="65" customFormat="1" ht="20.100000000000001" customHeight="1" x14ac:dyDescent="0.25">
      <c r="B356" s="457" t="s">
        <v>388</v>
      </c>
      <c r="C356" s="458"/>
      <c r="D356" s="459"/>
      <c r="E356" s="459"/>
      <c r="F356" s="459"/>
      <c r="G356" s="459"/>
      <c r="H356" s="460"/>
    </row>
    <row r="357" spans="2:8" s="65" customFormat="1" ht="20.100000000000001" customHeight="1" x14ac:dyDescent="0.25">
      <c r="B357" s="377">
        <v>5</v>
      </c>
      <c r="C357" s="233">
        <v>60000</v>
      </c>
      <c r="D357" s="491" t="s">
        <v>389</v>
      </c>
      <c r="E357" s="492"/>
      <c r="F357" s="492"/>
      <c r="G357" s="493"/>
      <c r="H357" s="395" t="s">
        <v>755</v>
      </c>
    </row>
    <row r="358" spans="2:8" s="65" customFormat="1" ht="20.100000000000001" customHeight="1" x14ac:dyDescent="0.25">
      <c r="B358" s="386" t="s">
        <v>105</v>
      </c>
      <c r="C358" s="163">
        <v>67022</v>
      </c>
      <c r="D358" s="78" t="s">
        <v>390</v>
      </c>
      <c r="E358" s="79" t="s">
        <v>24</v>
      </c>
      <c r="F358" s="342" t="s">
        <v>26</v>
      </c>
      <c r="G358" s="342" t="s">
        <v>27</v>
      </c>
      <c r="H358" s="387">
        <f>SUM(H359,H361,H363,H365)</f>
        <v>186.65940000000001</v>
      </c>
    </row>
    <row r="359" spans="2:8" s="65" customFormat="1" ht="20.100000000000001" customHeight="1" x14ac:dyDescent="0.25">
      <c r="B359" s="447"/>
      <c r="C359" s="448"/>
      <c r="D359" s="169" t="s">
        <v>392</v>
      </c>
      <c r="E359" s="170" t="s">
        <v>24</v>
      </c>
      <c r="F359" s="272" t="s">
        <v>26</v>
      </c>
      <c r="G359" s="272" t="s">
        <v>27</v>
      </c>
      <c r="H359" s="399">
        <f>H360</f>
        <v>109.848</v>
      </c>
    </row>
    <row r="360" spans="2:8" s="65" customFormat="1" ht="20.100000000000001" customHeight="1" x14ac:dyDescent="0.25">
      <c r="B360" s="447"/>
      <c r="C360" s="448"/>
      <c r="D360" s="83" t="s">
        <v>391</v>
      </c>
      <c r="E360" s="67" t="s">
        <v>24</v>
      </c>
      <c r="F360" s="331">
        <v>7.96</v>
      </c>
      <c r="G360" s="331">
        <v>6.9</v>
      </c>
      <c r="H360" s="402">
        <f>2*G360*F360</f>
        <v>109.848</v>
      </c>
    </row>
    <row r="361" spans="2:8" s="65" customFormat="1" ht="20.100000000000001" customHeight="1" x14ac:dyDescent="0.25">
      <c r="B361" s="447"/>
      <c r="C361" s="448"/>
      <c r="D361" s="169" t="s">
        <v>147</v>
      </c>
      <c r="E361" s="170" t="s">
        <v>24</v>
      </c>
      <c r="F361" s="272" t="s">
        <v>26</v>
      </c>
      <c r="G361" s="272" t="s">
        <v>27</v>
      </c>
      <c r="H361" s="399">
        <f>H362</f>
        <v>25.481000000000002</v>
      </c>
    </row>
    <row r="362" spans="2:8" s="65" customFormat="1" ht="20.100000000000001" customHeight="1" x14ac:dyDescent="0.25">
      <c r="B362" s="447"/>
      <c r="C362" s="448"/>
      <c r="D362" s="83" t="s">
        <v>391</v>
      </c>
      <c r="E362" s="67" t="s">
        <v>24</v>
      </c>
      <c r="F362" s="331">
        <v>3.07</v>
      </c>
      <c r="G362" s="331">
        <v>4.1500000000000004</v>
      </c>
      <c r="H362" s="402">
        <f t="shared" ref="H362:H366" si="20">2*G362*F362</f>
        <v>25.481000000000002</v>
      </c>
    </row>
    <row r="363" spans="2:8" s="65" customFormat="1" ht="20.100000000000001" customHeight="1" x14ac:dyDescent="0.25">
      <c r="B363" s="447"/>
      <c r="C363" s="448"/>
      <c r="D363" s="169" t="s">
        <v>364</v>
      </c>
      <c r="E363" s="170" t="s">
        <v>24</v>
      </c>
      <c r="F363" s="272" t="s">
        <v>26</v>
      </c>
      <c r="G363" s="272" t="s">
        <v>27</v>
      </c>
      <c r="H363" s="399">
        <f>H364</f>
        <v>38.988999999999997</v>
      </c>
    </row>
    <row r="364" spans="2:8" s="65" customFormat="1" ht="20.100000000000001" customHeight="1" x14ac:dyDescent="0.25">
      <c r="B364" s="447"/>
      <c r="C364" s="448"/>
      <c r="D364" s="83" t="s">
        <v>391</v>
      </c>
      <c r="E364" s="67" t="s">
        <v>24</v>
      </c>
      <c r="F364" s="331">
        <v>3.07</v>
      </c>
      <c r="G364" s="331">
        <v>6.35</v>
      </c>
      <c r="H364" s="402">
        <f t="shared" si="20"/>
        <v>38.988999999999997</v>
      </c>
    </row>
    <row r="365" spans="2:8" s="65" customFormat="1" ht="20.100000000000001" customHeight="1" x14ac:dyDescent="0.25">
      <c r="B365" s="447"/>
      <c r="C365" s="448"/>
      <c r="D365" s="169" t="s">
        <v>354</v>
      </c>
      <c r="E365" s="170" t="s">
        <v>24</v>
      </c>
      <c r="F365" s="272" t="s">
        <v>26</v>
      </c>
      <c r="G365" s="272" t="s">
        <v>27</v>
      </c>
      <c r="H365" s="399">
        <f>H366</f>
        <v>12.341399999999998</v>
      </c>
    </row>
    <row r="366" spans="2:8" s="65" customFormat="1" ht="20.100000000000001" customHeight="1" x14ac:dyDescent="0.25">
      <c r="B366" s="447"/>
      <c r="C366" s="448"/>
      <c r="D366" s="83" t="s">
        <v>391</v>
      </c>
      <c r="E366" s="67" t="s">
        <v>24</v>
      </c>
      <c r="F366" s="331">
        <v>3.07</v>
      </c>
      <c r="G366" s="331">
        <v>2.0099999999999998</v>
      </c>
      <c r="H366" s="402">
        <f t="shared" si="20"/>
        <v>12.341399999999998</v>
      </c>
    </row>
    <row r="367" spans="2:8" s="65" customFormat="1" ht="18.75" customHeight="1" x14ac:dyDescent="0.25">
      <c r="B367" s="386" t="s">
        <v>1142</v>
      </c>
      <c r="C367" s="163">
        <v>60191</v>
      </c>
      <c r="D367" s="78" t="s">
        <v>1120</v>
      </c>
      <c r="E367" s="79" t="s">
        <v>24</v>
      </c>
      <c r="F367" s="342" t="s">
        <v>26</v>
      </c>
      <c r="G367" s="342" t="s">
        <v>31</v>
      </c>
      <c r="H367" s="387">
        <f>H368</f>
        <v>1.25</v>
      </c>
    </row>
    <row r="368" spans="2:8" s="65" customFormat="1" ht="20.100000000000001" customHeight="1" x14ac:dyDescent="0.25">
      <c r="B368" s="463"/>
      <c r="C368" s="464"/>
      <c r="D368" s="83" t="s">
        <v>1121</v>
      </c>
      <c r="E368" s="67" t="s">
        <v>24</v>
      </c>
      <c r="F368" s="331">
        <v>2.5</v>
      </c>
      <c r="G368" s="331">
        <v>0.25</v>
      </c>
      <c r="H368" s="402">
        <f>G368*F368*2</f>
        <v>1.25</v>
      </c>
    </row>
    <row r="369" spans="2:8" s="65" customFormat="1" ht="18.75" customHeight="1" x14ac:dyDescent="0.25">
      <c r="B369" s="386" t="s">
        <v>1143</v>
      </c>
      <c r="C369" s="163">
        <v>60305</v>
      </c>
      <c r="D369" s="78" t="s">
        <v>1122</v>
      </c>
      <c r="E369" s="79" t="s">
        <v>95</v>
      </c>
      <c r="F369" s="342" t="s">
        <v>26</v>
      </c>
      <c r="G369" s="342" t="s">
        <v>287</v>
      </c>
      <c r="H369" s="387">
        <f>SUM(H370:H381)</f>
        <v>77.716800000000006</v>
      </c>
    </row>
    <row r="370" spans="2:8" s="65" customFormat="1" ht="20.100000000000001" customHeight="1" x14ac:dyDescent="0.25">
      <c r="B370" s="465"/>
      <c r="C370" s="466"/>
      <c r="D370" s="83" t="s">
        <v>1123</v>
      </c>
      <c r="E370" s="67" t="s">
        <v>95</v>
      </c>
      <c r="F370" s="331">
        <v>10.8</v>
      </c>
      <c r="G370" s="331">
        <v>0.63</v>
      </c>
      <c r="H370" s="402">
        <f>G370*F370</f>
        <v>6.8040000000000003</v>
      </c>
    </row>
    <row r="371" spans="2:8" s="65" customFormat="1" ht="20.100000000000001" customHeight="1" x14ac:dyDescent="0.25">
      <c r="B371" s="473"/>
      <c r="C371" s="474"/>
      <c r="D371" s="83" t="s">
        <v>1125</v>
      </c>
      <c r="E371" s="67" t="s">
        <v>95</v>
      </c>
      <c r="F371" s="331">
        <v>10.8</v>
      </c>
      <c r="G371" s="331">
        <v>0.63</v>
      </c>
      <c r="H371" s="402">
        <f>G371*F371</f>
        <v>6.8040000000000003</v>
      </c>
    </row>
    <row r="372" spans="2:8" s="65" customFormat="1" ht="20.100000000000001" customHeight="1" x14ac:dyDescent="0.25">
      <c r="B372" s="473"/>
      <c r="C372" s="474"/>
      <c r="D372" s="83" t="s">
        <v>1126</v>
      </c>
      <c r="E372" s="67" t="s">
        <v>95</v>
      </c>
      <c r="F372" s="331">
        <v>7.24</v>
      </c>
      <c r="G372" s="331">
        <v>0.63</v>
      </c>
      <c r="H372" s="402">
        <f t="shared" ref="H372:H381" si="21">G372*F372</f>
        <v>4.5612000000000004</v>
      </c>
    </row>
    <row r="373" spans="2:8" s="65" customFormat="1" ht="18.75" customHeight="1" x14ac:dyDescent="0.25">
      <c r="B373" s="473"/>
      <c r="C373" s="474"/>
      <c r="D373" s="83" t="s">
        <v>1127</v>
      </c>
      <c r="E373" s="67" t="s">
        <v>95</v>
      </c>
      <c r="F373" s="331">
        <v>7.24</v>
      </c>
      <c r="G373" s="331">
        <v>0.63</v>
      </c>
      <c r="H373" s="402">
        <f t="shared" si="21"/>
        <v>4.5612000000000004</v>
      </c>
    </row>
    <row r="374" spans="2:8" s="65" customFormat="1" ht="18.75" customHeight="1" x14ac:dyDescent="0.25">
      <c r="B374" s="473"/>
      <c r="C374" s="474"/>
      <c r="D374" s="83" t="s">
        <v>1133</v>
      </c>
      <c r="E374" s="67" t="s">
        <v>95</v>
      </c>
      <c r="F374" s="331">
        <v>10.8</v>
      </c>
      <c r="G374" s="331">
        <v>0.63</v>
      </c>
      <c r="H374" s="402">
        <f t="shared" si="21"/>
        <v>6.8040000000000003</v>
      </c>
    </row>
    <row r="375" spans="2:8" s="65" customFormat="1" ht="18.75" customHeight="1" x14ac:dyDescent="0.25">
      <c r="B375" s="473"/>
      <c r="C375" s="474"/>
      <c r="D375" s="83" t="s">
        <v>1134</v>
      </c>
      <c r="E375" s="67" t="s">
        <v>95</v>
      </c>
      <c r="F375" s="331">
        <v>10.8</v>
      </c>
      <c r="G375" s="331">
        <v>0.63</v>
      </c>
      <c r="H375" s="402">
        <f t="shared" si="21"/>
        <v>6.8040000000000003</v>
      </c>
    </row>
    <row r="376" spans="2:8" s="65" customFormat="1" ht="18.75" customHeight="1" x14ac:dyDescent="0.25">
      <c r="B376" s="473"/>
      <c r="C376" s="474"/>
      <c r="D376" s="83" t="s">
        <v>1135</v>
      </c>
      <c r="E376" s="67" t="s">
        <v>95</v>
      </c>
      <c r="F376" s="331">
        <v>7.24</v>
      </c>
      <c r="G376" s="331">
        <v>0.63</v>
      </c>
      <c r="H376" s="402">
        <f t="shared" si="21"/>
        <v>4.5612000000000004</v>
      </c>
    </row>
    <row r="377" spans="2:8" s="65" customFormat="1" ht="18.75" customHeight="1" x14ac:dyDescent="0.25">
      <c r="B377" s="473"/>
      <c r="C377" s="474"/>
      <c r="D377" s="83" t="s">
        <v>1136</v>
      </c>
      <c r="E377" s="67" t="s">
        <v>95</v>
      </c>
      <c r="F377" s="331">
        <v>7.24</v>
      </c>
      <c r="G377" s="331">
        <v>0.63</v>
      </c>
      <c r="H377" s="402">
        <f t="shared" si="21"/>
        <v>4.5612000000000004</v>
      </c>
    </row>
    <row r="378" spans="2:8" s="65" customFormat="1" ht="18.75" customHeight="1" x14ac:dyDescent="0.25">
      <c r="B378" s="473"/>
      <c r="C378" s="474"/>
      <c r="D378" s="83" t="s">
        <v>1138</v>
      </c>
      <c r="E378" s="67" t="s">
        <v>95</v>
      </c>
      <c r="F378" s="331">
        <v>12.8</v>
      </c>
      <c r="G378" s="331">
        <v>0.63</v>
      </c>
      <c r="H378" s="402">
        <f t="shared" si="21"/>
        <v>8.0640000000000001</v>
      </c>
    </row>
    <row r="379" spans="2:8" s="65" customFormat="1" ht="18.75" customHeight="1" x14ac:dyDescent="0.25">
      <c r="B379" s="473"/>
      <c r="C379" s="474"/>
      <c r="D379" s="83" t="s">
        <v>1139</v>
      </c>
      <c r="E379" s="67" t="s">
        <v>95</v>
      </c>
      <c r="F379" s="331">
        <v>12.8</v>
      </c>
      <c r="G379" s="331">
        <v>0.63</v>
      </c>
      <c r="H379" s="402">
        <f t="shared" si="21"/>
        <v>8.0640000000000001</v>
      </c>
    </row>
    <row r="380" spans="2:8" s="65" customFormat="1" ht="18.75" customHeight="1" x14ac:dyDescent="0.25">
      <c r="B380" s="473"/>
      <c r="C380" s="474"/>
      <c r="D380" s="83" t="s">
        <v>1140</v>
      </c>
      <c r="E380" s="67" t="s">
        <v>95</v>
      </c>
      <c r="F380" s="331">
        <v>12.8</v>
      </c>
      <c r="G380" s="331">
        <v>0.63</v>
      </c>
      <c r="H380" s="402">
        <f t="shared" si="21"/>
        <v>8.0640000000000001</v>
      </c>
    </row>
    <row r="381" spans="2:8" s="65" customFormat="1" ht="18.75" customHeight="1" x14ac:dyDescent="0.25">
      <c r="B381" s="467"/>
      <c r="C381" s="468"/>
      <c r="D381" s="83" t="s">
        <v>1141</v>
      </c>
      <c r="E381" s="67" t="s">
        <v>95</v>
      </c>
      <c r="F381" s="331">
        <v>12.8</v>
      </c>
      <c r="G381" s="331">
        <v>0.63</v>
      </c>
      <c r="H381" s="402">
        <f t="shared" si="21"/>
        <v>8.0640000000000001</v>
      </c>
    </row>
    <row r="382" spans="2:8" s="65" customFormat="1" ht="18" customHeight="1" x14ac:dyDescent="0.25">
      <c r="B382" s="386" t="s">
        <v>1144</v>
      </c>
      <c r="C382" s="162">
        <v>60314</v>
      </c>
      <c r="D382" s="78" t="s">
        <v>1124</v>
      </c>
      <c r="E382" s="79" t="s">
        <v>95</v>
      </c>
      <c r="F382" s="342" t="s">
        <v>26</v>
      </c>
      <c r="G382" s="342" t="s">
        <v>287</v>
      </c>
      <c r="H382" s="387">
        <f>SUM(H383:H394)</f>
        <v>27.993600000000004</v>
      </c>
    </row>
    <row r="383" spans="2:8" s="65" customFormat="1" ht="20.100000000000001" customHeight="1" x14ac:dyDescent="0.25">
      <c r="B383" s="465"/>
      <c r="C383" s="466"/>
      <c r="D383" s="83" t="s">
        <v>1123</v>
      </c>
      <c r="E383" s="67" t="s">
        <v>95</v>
      </c>
      <c r="F383" s="331">
        <v>17</v>
      </c>
      <c r="G383" s="331">
        <v>0.16</v>
      </c>
      <c r="H383" s="402">
        <f>G383*F383</f>
        <v>2.72</v>
      </c>
    </row>
    <row r="384" spans="2:8" s="65" customFormat="1" ht="20.100000000000001" customHeight="1" x14ac:dyDescent="0.25">
      <c r="B384" s="473"/>
      <c r="C384" s="474"/>
      <c r="D384" s="83" t="s">
        <v>1125</v>
      </c>
      <c r="E384" s="67" t="s">
        <v>95</v>
      </c>
      <c r="F384" s="331">
        <v>17</v>
      </c>
      <c r="G384" s="331">
        <v>0.16</v>
      </c>
      <c r="H384" s="402">
        <f>G384*F384</f>
        <v>2.72</v>
      </c>
    </row>
    <row r="385" spans="2:8" s="65" customFormat="1" ht="20.100000000000001" customHeight="1" x14ac:dyDescent="0.25">
      <c r="B385" s="473"/>
      <c r="C385" s="474"/>
      <c r="D385" s="83" t="s">
        <v>1126</v>
      </c>
      <c r="E385" s="67" t="s">
        <v>95</v>
      </c>
      <c r="F385" s="331">
        <v>12.24</v>
      </c>
      <c r="G385" s="331">
        <v>0.16</v>
      </c>
      <c r="H385" s="402">
        <f>G385*F385</f>
        <v>1.9584000000000001</v>
      </c>
    </row>
    <row r="386" spans="2:8" s="65" customFormat="1" ht="20.100000000000001" customHeight="1" x14ac:dyDescent="0.25">
      <c r="B386" s="473"/>
      <c r="C386" s="474"/>
      <c r="D386" s="83" t="s">
        <v>1127</v>
      </c>
      <c r="E386" s="67" t="s">
        <v>95</v>
      </c>
      <c r="F386" s="331">
        <v>12.24</v>
      </c>
      <c r="G386" s="331">
        <v>0.16</v>
      </c>
      <c r="H386" s="402">
        <f>G386*F386</f>
        <v>1.9584000000000001</v>
      </c>
    </row>
    <row r="387" spans="2:8" s="65" customFormat="1" ht="20.100000000000001" customHeight="1" x14ac:dyDescent="0.25">
      <c r="B387" s="473"/>
      <c r="C387" s="474"/>
      <c r="D387" s="83" t="s">
        <v>1133</v>
      </c>
      <c r="E387" s="67" t="s">
        <v>95</v>
      </c>
      <c r="F387" s="331">
        <v>17</v>
      </c>
      <c r="G387" s="331">
        <v>0.16</v>
      </c>
      <c r="H387" s="402">
        <f t="shared" ref="H387:H394" si="22">G387*F387</f>
        <v>2.72</v>
      </c>
    </row>
    <row r="388" spans="2:8" s="65" customFormat="1" ht="20.100000000000001" customHeight="1" x14ac:dyDescent="0.25">
      <c r="B388" s="473"/>
      <c r="C388" s="474"/>
      <c r="D388" s="83" t="s">
        <v>1134</v>
      </c>
      <c r="E388" s="67" t="s">
        <v>95</v>
      </c>
      <c r="F388" s="331">
        <v>17</v>
      </c>
      <c r="G388" s="331">
        <v>0.16</v>
      </c>
      <c r="H388" s="402">
        <f t="shared" si="22"/>
        <v>2.72</v>
      </c>
    </row>
    <row r="389" spans="2:8" s="65" customFormat="1" ht="20.100000000000001" customHeight="1" x14ac:dyDescent="0.25">
      <c r="B389" s="473"/>
      <c r="C389" s="474"/>
      <c r="D389" s="83" t="s">
        <v>1135</v>
      </c>
      <c r="E389" s="67" t="s">
        <v>95</v>
      </c>
      <c r="F389" s="331">
        <v>12.24</v>
      </c>
      <c r="G389" s="331">
        <v>0.16</v>
      </c>
      <c r="H389" s="402">
        <f t="shared" si="22"/>
        <v>1.9584000000000001</v>
      </c>
    </row>
    <row r="390" spans="2:8" s="65" customFormat="1" ht="20.100000000000001" customHeight="1" x14ac:dyDescent="0.25">
      <c r="B390" s="473"/>
      <c r="C390" s="474"/>
      <c r="D390" s="83" t="s">
        <v>1136</v>
      </c>
      <c r="E390" s="67" t="s">
        <v>95</v>
      </c>
      <c r="F390" s="331">
        <v>12.24</v>
      </c>
      <c r="G390" s="331">
        <v>0.16</v>
      </c>
      <c r="H390" s="402">
        <f t="shared" si="22"/>
        <v>1.9584000000000001</v>
      </c>
    </row>
    <row r="391" spans="2:8" s="65" customFormat="1" ht="20.100000000000001" customHeight="1" x14ac:dyDescent="0.25">
      <c r="B391" s="473"/>
      <c r="C391" s="474"/>
      <c r="D391" s="83" t="s">
        <v>1138</v>
      </c>
      <c r="E391" s="67" t="s">
        <v>95</v>
      </c>
      <c r="F391" s="331">
        <v>14.5</v>
      </c>
      <c r="G391" s="331">
        <v>0.16</v>
      </c>
      <c r="H391" s="402">
        <f t="shared" si="22"/>
        <v>2.3199999999999998</v>
      </c>
    </row>
    <row r="392" spans="2:8" s="65" customFormat="1" ht="20.100000000000001" customHeight="1" x14ac:dyDescent="0.25">
      <c r="B392" s="473"/>
      <c r="C392" s="474"/>
      <c r="D392" s="83" t="s">
        <v>1139</v>
      </c>
      <c r="E392" s="67" t="s">
        <v>95</v>
      </c>
      <c r="F392" s="331">
        <v>14.5</v>
      </c>
      <c r="G392" s="331">
        <v>0.16</v>
      </c>
      <c r="H392" s="402">
        <f t="shared" si="22"/>
        <v>2.3199999999999998</v>
      </c>
    </row>
    <row r="393" spans="2:8" s="65" customFormat="1" ht="20.100000000000001" customHeight="1" x14ac:dyDescent="0.25">
      <c r="B393" s="473"/>
      <c r="C393" s="474"/>
      <c r="D393" s="83" t="s">
        <v>1140</v>
      </c>
      <c r="E393" s="67" t="s">
        <v>95</v>
      </c>
      <c r="F393" s="331">
        <v>14.5</v>
      </c>
      <c r="G393" s="331">
        <v>0.16</v>
      </c>
      <c r="H393" s="402">
        <f t="shared" si="22"/>
        <v>2.3199999999999998</v>
      </c>
    </row>
    <row r="394" spans="2:8" s="65" customFormat="1" ht="20.100000000000001" customHeight="1" x14ac:dyDescent="0.25">
      <c r="B394" s="467"/>
      <c r="C394" s="468"/>
      <c r="D394" s="83" t="s">
        <v>1141</v>
      </c>
      <c r="E394" s="67" t="s">
        <v>95</v>
      </c>
      <c r="F394" s="331">
        <v>14.5</v>
      </c>
      <c r="G394" s="331">
        <v>0.16</v>
      </c>
      <c r="H394" s="402">
        <f t="shared" si="22"/>
        <v>2.3199999999999998</v>
      </c>
    </row>
    <row r="395" spans="2:8" s="65" customFormat="1" ht="18" customHeight="1" x14ac:dyDescent="0.25">
      <c r="B395" s="386" t="s">
        <v>1145</v>
      </c>
      <c r="C395" s="163">
        <v>60517</v>
      </c>
      <c r="D395" s="78" t="s">
        <v>1128</v>
      </c>
      <c r="E395" s="79" t="s">
        <v>100</v>
      </c>
      <c r="F395" s="342" t="s">
        <v>1129</v>
      </c>
      <c r="G395" s="342" t="s">
        <v>26</v>
      </c>
      <c r="H395" s="387">
        <f>SUM(H396:H407)</f>
        <v>1.00335</v>
      </c>
    </row>
    <row r="396" spans="2:8" s="65" customFormat="1" ht="20.100000000000001" customHeight="1" x14ac:dyDescent="0.25">
      <c r="B396" s="465"/>
      <c r="C396" s="466"/>
      <c r="D396" s="83" t="s">
        <v>1123</v>
      </c>
      <c r="E396" s="67" t="s">
        <v>100</v>
      </c>
      <c r="F396" s="331">
        <v>3.7499999999999999E-2</v>
      </c>
      <c r="G396" s="331">
        <v>2.5</v>
      </c>
      <c r="H396" s="402">
        <f>G396*F396</f>
        <v>9.375E-2</v>
      </c>
    </row>
    <row r="397" spans="2:8" s="65" customFormat="1" ht="20.100000000000001" customHeight="1" x14ac:dyDescent="0.25">
      <c r="B397" s="473"/>
      <c r="C397" s="474"/>
      <c r="D397" s="83" t="s">
        <v>1125</v>
      </c>
      <c r="E397" s="67" t="s">
        <v>100</v>
      </c>
      <c r="F397" s="331">
        <v>0.04</v>
      </c>
      <c r="G397" s="331">
        <v>2.5</v>
      </c>
      <c r="H397" s="402">
        <f t="shared" ref="H397:H406" si="23">G397*F397</f>
        <v>0.1</v>
      </c>
    </row>
    <row r="398" spans="2:8" s="65" customFormat="1" ht="20.100000000000001" customHeight="1" x14ac:dyDescent="0.25">
      <c r="B398" s="473"/>
      <c r="C398" s="474"/>
      <c r="D398" s="83" t="s">
        <v>1126</v>
      </c>
      <c r="E398" s="67" t="s">
        <v>100</v>
      </c>
      <c r="F398" s="331">
        <v>0.04</v>
      </c>
      <c r="G398" s="331">
        <v>1.56</v>
      </c>
      <c r="H398" s="402">
        <f t="shared" si="23"/>
        <v>6.2400000000000004E-2</v>
      </c>
    </row>
    <row r="399" spans="2:8" s="65" customFormat="1" ht="20.100000000000001" customHeight="1" x14ac:dyDescent="0.25">
      <c r="B399" s="473"/>
      <c r="C399" s="474"/>
      <c r="D399" s="83" t="s">
        <v>1127</v>
      </c>
      <c r="E399" s="67" t="s">
        <v>100</v>
      </c>
      <c r="F399" s="331">
        <v>0.04</v>
      </c>
      <c r="G399" s="331">
        <v>1.56</v>
      </c>
      <c r="H399" s="402">
        <f t="shared" si="23"/>
        <v>6.2400000000000004E-2</v>
      </c>
    </row>
    <row r="400" spans="2:8" s="65" customFormat="1" ht="20.100000000000001" customHeight="1" x14ac:dyDescent="0.25">
      <c r="B400" s="473"/>
      <c r="C400" s="474"/>
      <c r="D400" s="83" t="s">
        <v>1133</v>
      </c>
      <c r="E400" s="67" t="s">
        <v>100</v>
      </c>
      <c r="F400" s="331">
        <v>0.04</v>
      </c>
      <c r="G400" s="331">
        <v>2.5</v>
      </c>
      <c r="H400" s="402">
        <f t="shared" si="23"/>
        <v>0.1</v>
      </c>
    </row>
    <row r="401" spans="2:8" s="65" customFormat="1" ht="20.100000000000001" customHeight="1" x14ac:dyDescent="0.25">
      <c r="B401" s="473"/>
      <c r="C401" s="474"/>
      <c r="D401" s="83" t="s">
        <v>1134</v>
      </c>
      <c r="E401" s="67" t="s">
        <v>100</v>
      </c>
      <c r="F401" s="331">
        <v>0.04</v>
      </c>
      <c r="G401" s="331">
        <v>2.5</v>
      </c>
      <c r="H401" s="402">
        <f t="shared" si="23"/>
        <v>0.1</v>
      </c>
    </row>
    <row r="402" spans="2:8" s="65" customFormat="1" ht="20.100000000000001" customHeight="1" x14ac:dyDescent="0.25">
      <c r="B402" s="473"/>
      <c r="C402" s="474"/>
      <c r="D402" s="83" t="s">
        <v>1135</v>
      </c>
      <c r="E402" s="67" t="s">
        <v>100</v>
      </c>
      <c r="F402" s="331">
        <v>0.04</v>
      </c>
      <c r="G402" s="331">
        <v>1.56</v>
      </c>
      <c r="H402" s="402">
        <f t="shared" si="23"/>
        <v>6.2400000000000004E-2</v>
      </c>
    </row>
    <row r="403" spans="2:8" s="65" customFormat="1" ht="20.100000000000001" customHeight="1" x14ac:dyDescent="0.25">
      <c r="B403" s="473"/>
      <c r="C403" s="474"/>
      <c r="D403" s="83" t="s">
        <v>1136</v>
      </c>
      <c r="E403" s="67" t="s">
        <v>100</v>
      </c>
      <c r="F403" s="331">
        <v>0.04</v>
      </c>
      <c r="G403" s="331">
        <v>1.56</v>
      </c>
      <c r="H403" s="402">
        <f t="shared" si="23"/>
        <v>6.2400000000000004E-2</v>
      </c>
    </row>
    <row r="404" spans="2:8" s="65" customFormat="1" ht="20.100000000000001" customHeight="1" x14ac:dyDescent="0.25">
      <c r="B404" s="473"/>
      <c r="C404" s="474"/>
      <c r="D404" s="83" t="s">
        <v>1138</v>
      </c>
      <c r="E404" s="67" t="s">
        <v>100</v>
      </c>
      <c r="F404" s="331">
        <v>0.03</v>
      </c>
      <c r="G404" s="331">
        <v>3</v>
      </c>
      <c r="H404" s="402">
        <f t="shared" si="23"/>
        <v>0.09</v>
      </c>
    </row>
    <row r="405" spans="2:8" s="65" customFormat="1" ht="20.100000000000001" customHeight="1" x14ac:dyDescent="0.25">
      <c r="B405" s="473"/>
      <c r="C405" s="474"/>
      <c r="D405" s="83" t="s">
        <v>1139</v>
      </c>
      <c r="E405" s="67" t="s">
        <v>100</v>
      </c>
      <c r="F405" s="331">
        <v>0.03</v>
      </c>
      <c r="G405" s="331">
        <v>3</v>
      </c>
      <c r="H405" s="402">
        <f t="shared" si="23"/>
        <v>0.09</v>
      </c>
    </row>
    <row r="406" spans="2:8" s="65" customFormat="1" ht="20.100000000000001" customHeight="1" x14ac:dyDescent="0.25">
      <c r="B406" s="473"/>
      <c r="C406" s="474"/>
      <c r="D406" s="83" t="s">
        <v>1140</v>
      </c>
      <c r="E406" s="67" t="s">
        <v>100</v>
      </c>
      <c r="F406" s="331">
        <v>0.03</v>
      </c>
      <c r="G406" s="331">
        <v>3</v>
      </c>
      <c r="H406" s="402">
        <f t="shared" si="23"/>
        <v>0.09</v>
      </c>
    </row>
    <row r="407" spans="2:8" s="65" customFormat="1" ht="20.100000000000001" customHeight="1" x14ac:dyDescent="0.25">
      <c r="B407" s="467"/>
      <c r="C407" s="468"/>
      <c r="D407" s="83" t="s">
        <v>1141</v>
      </c>
      <c r="E407" s="67" t="s">
        <v>100</v>
      </c>
      <c r="F407" s="331">
        <v>0.03</v>
      </c>
      <c r="G407" s="331">
        <v>3</v>
      </c>
      <c r="H407" s="402">
        <f>G407*F407</f>
        <v>0.09</v>
      </c>
    </row>
    <row r="408" spans="2:8" s="65" customFormat="1" ht="18" customHeight="1" x14ac:dyDescent="0.25">
      <c r="B408" s="386" t="s">
        <v>1146</v>
      </c>
      <c r="C408" s="163">
        <v>60801</v>
      </c>
      <c r="D408" s="78" t="s">
        <v>1130</v>
      </c>
      <c r="E408" s="79" t="s">
        <v>100</v>
      </c>
      <c r="F408" s="342" t="s">
        <v>1129</v>
      </c>
      <c r="G408" s="342" t="s">
        <v>26</v>
      </c>
      <c r="H408" s="387">
        <f>SUM(H409:H420)</f>
        <v>1.00335</v>
      </c>
    </row>
    <row r="409" spans="2:8" s="65" customFormat="1" ht="20.100000000000001" customHeight="1" x14ac:dyDescent="0.25">
      <c r="B409" s="465"/>
      <c r="C409" s="466"/>
      <c r="D409" s="83" t="s">
        <v>1123</v>
      </c>
      <c r="E409" s="67" t="s">
        <v>100</v>
      </c>
      <c r="F409" s="331">
        <v>3.7499999999999999E-2</v>
      </c>
      <c r="G409" s="331">
        <v>2.5</v>
      </c>
      <c r="H409" s="402">
        <f>G409*F409</f>
        <v>9.375E-2</v>
      </c>
    </row>
    <row r="410" spans="2:8" s="65" customFormat="1" ht="20.100000000000001" customHeight="1" x14ac:dyDescent="0.25">
      <c r="B410" s="473"/>
      <c r="C410" s="474"/>
      <c r="D410" s="83" t="s">
        <v>1125</v>
      </c>
      <c r="E410" s="67" t="s">
        <v>100</v>
      </c>
      <c r="F410" s="331">
        <v>0.04</v>
      </c>
      <c r="G410" s="331">
        <v>2.5</v>
      </c>
      <c r="H410" s="402">
        <f t="shared" ref="H410:H420" si="24">G410*F410</f>
        <v>0.1</v>
      </c>
    </row>
    <row r="411" spans="2:8" s="65" customFormat="1" ht="20.100000000000001" customHeight="1" x14ac:dyDescent="0.25">
      <c r="B411" s="473"/>
      <c r="C411" s="474"/>
      <c r="D411" s="83" t="s">
        <v>1126</v>
      </c>
      <c r="E411" s="67" t="s">
        <v>100</v>
      </c>
      <c r="F411" s="331">
        <v>0.04</v>
      </c>
      <c r="G411" s="331">
        <v>1.56</v>
      </c>
      <c r="H411" s="402">
        <f t="shared" si="24"/>
        <v>6.2400000000000004E-2</v>
      </c>
    </row>
    <row r="412" spans="2:8" s="65" customFormat="1" ht="20.100000000000001" customHeight="1" x14ac:dyDescent="0.25">
      <c r="B412" s="473"/>
      <c r="C412" s="474"/>
      <c r="D412" s="83" t="s">
        <v>1127</v>
      </c>
      <c r="E412" s="67" t="s">
        <v>100</v>
      </c>
      <c r="F412" s="331">
        <v>0.04</v>
      </c>
      <c r="G412" s="331">
        <v>1.56</v>
      </c>
      <c r="H412" s="402">
        <f t="shared" si="24"/>
        <v>6.2400000000000004E-2</v>
      </c>
    </row>
    <row r="413" spans="2:8" s="65" customFormat="1" ht="20.100000000000001" customHeight="1" x14ac:dyDescent="0.25">
      <c r="B413" s="473"/>
      <c r="C413" s="474"/>
      <c r="D413" s="83" t="s">
        <v>1133</v>
      </c>
      <c r="E413" s="67" t="s">
        <v>100</v>
      </c>
      <c r="F413" s="331">
        <v>0.04</v>
      </c>
      <c r="G413" s="331">
        <v>2.5</v>
      </c>
      <c r="H413" s="402">
        <f t="shared" si="24"/>
        <v>0.1</v>
      </c>
    </row>
    <row r="414" spans="2:8" s="65" customFormat="1" ht="20.100000000000001" customHeight="1" x14ac:dyDescent="0.25">
      <c r="B414" s="473"/>
      <c r="C414" s="474"/>
      <c r="D414" s="83" t="s">
        <v>1134</v>
      </c>
      <c r="E414" s="67" t="s">
        <v>100</v>
      </c>
      <c r="F414" s="331">
        <v>0.04</v>
      </c>
      <c r="G414" s="331">
        <v>2.5</v>
      </c>
      <c r="H414" s="402">
        <f t="shared" si="24"/>
        <v>0.1</v>
      </c>
    </row>
    <row r="415" spans="2:8" s="65" customFormat="1" ht="20.100000000000001" customHeight="1" x14ac:dyDescent="0.25">
      <c r="B415" s="473"/>
      <c r="C415" s="474"/>
      <c r="D415" s="83" t="s">
        <v>1135</v>
      </c>
      <c r="E415" s="67" t="s">
        <v>100</v>
      </c>
      <c r="F415" s="331">
        <v>0.04</v>
      </c>
      <c r="G415" s="331">
        <v>1.56</v>
      </c>
      <c r="H415" s="402">
        <f t="shared" si="24"/>
        <v>6.2400000000000004E-2</v>
      </c>
    </row>
    <row r="416" spans="2:8" s="65" customFormat="1" ht="20.100000000000001" customHeight="1" x14ac:dyDescent="0.25">
      <c r="B416" s="473"/>
      <c r="C416" s="474"/>
      <c r="D416" s="83" t="s">
        <v>1136</v>
      </c>
      <c r="E416" s="67" t="s">
        <v>100</v>
      </c>
      <c r="F416" s="331">
        <v>0.04</v>
      </c>
      <c r="G416" s="331">
        <v>1.56</v>
      </c>
      <c r="H416" s="402">
        <f t="shared" si="24"/>
        <v>6.2400000000000004E-2</v>
      </c>
    </row>
    <row r="417" spans="2:8" s="65" customFormat="1" ht="20.100000000000001" customHeight="1" x14ac:dyDescent="0.25">
      <c r="B417" s="473"/>
      <c r="C417" s="474"/>
      <c r="D417" s="83" t="s">
        <v>1138</v>
      </c>
      <c r="E417" s="67" t="s">
        <v>100</v>
      </c>
      <c r="F417" s="331">
        <v>0.03</v>
      </c>
      <c r="G417" s="331">
        <v>3</v>
      </c>
      <c r="H417" s="402">
        <f t="shared" si="24"/>
        <v>0.09</v>
      </c>
    </row>
    <row r="418" spans="2:8" s="65" customFormat="1" ht="20.100000000000001" customHeight="1" x14ac:dyDescent="0.25">
      <c r="B418" s="473"/>
      <c r="C418" s="474"/>
      <c r="D418" s="83" t="s">
        <v>1139</v>
      </c>
      <c r="E418" s="67" t="s">
        <v>100</v>
      </c>
      <c r="F418" s="331">
        <v>0.03</v>
      </c>
      <c r="G418" s="331">
        <v>3</v>
      </c>
      <c r="H418" s="402">
        <f t="shared" si="24"/>
        <v>0.09</v>
      </c>
    </row>
    <row r="419" spans="2:8" s="65" customFormat="1" ht="20.100000000000001" customHeight="1" x14ac:dyDescent="0.25">
      <c r="B419" s="473"/>
      <c r="C419" s="474"/>
      <c r="D419" s="83" t="s">
        <v>1140</v>
      </c>
      <c r="E419" s="67" t="s">
        <v>100</v>
      </c>
      <c r="F419" s="331">
        <v>0.03</v>
      </c>
      <c r="G419" s="331">
        <v>3</v>
      </c>
      <c r="H419" s="402">
        <f t="shared" si="24"/>
        <v>0.09</v>
      </c>
    </row>
    <row r="420" spans="2:8" s="65" customFormat="1" ht="20.100000000000001" customHeight="1" x14ac:dyDescent="0.25">
      <c r="B420" s="467"/>
      <c r="C420" s="468"/>
      <c r="D420" s="83" t="s">
        <v>1141</v>
      </c>
      <c r="E420" s="67" t="s">
        <v>100</v>
      </c>
      <c r="F420" s="331">
        <v>0.03</v>
      </c>
      <c r="G420" s="331">
        <v>3</v>
      </c>
      <c r="H420" s="402">
        <f t="shared" si="24"/>
        <v>0.09</v>
      </c>
    </row>
    <row r="421" spans="2:8" s="65" customFormat="1" ht="18" customHeight="1" x14ac:dyDescent="0.25">
      <c r="B421" s="386" t="s">
        <v>1147</v>
      </c>
      <c r="C421" s="163">
        <v>60209</v>
      </c>
      <c r="D421" s="78" t="s">
        <v>1131</v>
      </c>
      <c r="E421" s="79" t="s">
        <v>24</v>
      </c>
      <c r="F421" s="574" t="s">
        <v>289</v>
      </c>
      <c r="G421" s="575"/>
      <c r="H421" s="387">
        <f>SUM(H422:H423)</f>
        <v>3.6150000000000002</v>
      </c>
    </row>
    <row r="422" spans="2:8" s="65" customFormat="1" ht="20.100000000000001" customHeight="1" x14ac:dyDescent="0.25">
      <c r="B422" s="465"/>
      <c r="C422" s="466"/>
      <c r="D422" s="83" t="s">
        <v>1132</v>
      </c>
      <c r="E422" s="67" t="s">
        <v>24</v>
      </c>
      <c r="F422" s="461">
        <v>1.375</v>
      </c>
      <c r="G422" s="462"/>
      <c r="H422" s="402">
        <f>F422</f>
        <v>1.375</v>
      </c>
    </row>
    <row r="423" spans="2:8" s="65" customFormat="1" ht="20.100000000000001" customHeight="1" x14ac:dyDescent="0.25">
      <c r="B423" s="467"/>
      <c r="C423" s="468"/>
      <c r="D423" s="83" t="s">
        <v>1137</v>
      </c>
      <c r="E423" s="67" t="s">
        <v>24</v>
      </c>
      <c r="F423" s="461">
        <v>2.2400000000000002</v>
      </c>
      <c r="G423" s="462"/>
      <c r="H423" s="402">
        <f>F423</f>
        <v>2.2400000000000002</v>
      </c>
    </row>
    <row r="424" spans="2:8" s="65" customFormat="1" ht="20.100000000000001" customHeight="1" x14ac:dyDescent="0.25">
      <c r="B424" s="457" t="s">
        <v>446</v>
      </c>
      <c r="C424" s="458"/>
      <c r="D424" s="459"/>
      <c r="E424" s="459"/>
      <c r="F424" s="459"/>
      <c r="G424" s="459"/>
      <c r="H424" s="460"/>
    </row>
    <row r="425" spans="2:8" s="65" customFormat="1" ht="20.100000000000001" customHeight="1" x14ac:dyDescent="0.25">
      <c r="B425" s="377">
        <v>6</v>
      </c>
      <c r="C425" s="233">
        <v>70000</v>
      </c>
      <c r="D425" s="501" t="s">
        <v>116</v>
      </c>
      <c r="E425" s="502"/>
      <c r="F425" s="502"/>
      <c r="G425" s="503"/>
      <c r="H425" s="395" t="s">
        <v>6</v>
      </c>
    </row>
    <row r="426" spans="2:8" s="65" customFormat="1" ht="20.100000000000001" customHeight="1" x14ac:dyDescent="0.25">
      <c r="B426" s="386" t="s">
        <v>21</v>
      </c>
      <c r="C426" s="163" t="s">
        <v>447</v>
      </c>
      <c r="D426" s="78" t="s">
        <v>448</v>
      </c>
      <c r="E426" s="162" t="s">
        <v>309</v>
      </c>
      <c r="F426" s="455" t="s">
        <v>355</v>
      </c>
      <c r="G426" s="455"/>
      <c r="H426" s="387">
        <f>SUM(H427:H469)</f>
        <v>138</v>
      </c>
    </row>
    <row r="427" spans="2:8" s="65" customFormat="1" ht="20.100000000000001" customHeight="1" x14ac:dyDescent="0.25">
      <c r="B427" s="465"/>
      <c r="C427" s="466"/>
      <c r="D427" s="61" t="s">
        <v>427</v>
      </c>
      <c r="E427" s="67" t="s">
        <v>340</v>
      </c>
      <c r="F427" s="446">
        <v>13</v>
      </c>
      <c r="G427" s="446"/>
      <c r="H427" s="385">
        <f t="shared" ref="H427:H464" si="25">F427</f>
        <v>13</v>
      </c>
    </row>
    <row r="428" spans="2:8" s="65" customFormat="1" ht="20.100000000000001" customHeight="1" x14ac:dyDescent="0.25">
      <c r="B428" s="473"/>
      <c r="C428" s="474"/>
      <c r="D428" s="61" t="s">
        <v>152</v>
      </c>
      <c r="E428" s="67" t="s">
        <v>340</v>
      </c>
      <c r="F428" s="446">
        <v>3</v>
      </c>
      <c r="G428" s="446"/>
      <c r="H428" s="385">
        <f t="shared" si="25"/>
        <v>3</v>
      </c>
    </row>
    <row r="429" spans="2:8" s="65" customFormat="1" ht="20.100000000000001" customHeight="1" x14ac:dyDescent="0.25">
      <c r="B429" s="473"/>
      <c r="C429" s="474"/>
      <c r="D429" s="61" t="s">
        <v>282</v>
      </c>
      <c r="E429" s="67" t="s">
        <v>340</v>
      </c>
      <c r="F429" s="446">
        <v>3</v>
      </c>
      <c r="G429" s="446"/>
      <c r="H429" s="385">
        <f t="shared" si="25"/>
        <v>3</v>
      </c>
    </row>
    <row r="430" spans="2:8" s="65" customFormat="1" ht="20.100000000000001" customHeight="1" x14ac:dyDescent="0.25">
      <c r="B430" s="473"/>
      <c r="C430" s="474"/>
      <c r="D430" s="61" t="s">
        <v>428</v>
      </c>
      <c r="E430" s="67" t="s">
        <v>340</v>
      </c>
      <c r="F430" s="446">
        <v>6</v>
      </c>
      <c r="G430" s="446"/>
      <c r="H430" s="385">
        <f t="shared" si="25"/>
        <v>6</v>
      </c>
    </row>
    <row r="431" spans="2:8" s="65" customFormat="1" ht="20.100000000000001" customHeight="1" x14ac:dyDescent="0.25">
      <c r="B431" s="473"/>
      <c r="C431" s="474"/>
      <c r="D431" s="61" t="s">
        <v>164</v>
      </c>
      <c r="E431" s="67" t="s">
        <v>340</v>
      </c>
      <c r="F431" s="446">
        <v>1</v>
      </c>
      <c r="G431" s="446"/>
      <c r="H431" s="385">
        <f t="shared" si="25"/>
        <v>1</v>
      </c>
    </row>
    <row r="432" spans="2:8" s="65" customFormat="1" ht="20.100000000000001" customHeight="1" x14ac:dyDescent="0.25">
      <c r="B432" s="473"/>
      <c r="C432" s="474"/>
      <c r="D432" s="61" t="s">
        <v>163</v>
      </c>
      <c r="E432" s="67" t="s">
        <v>340</v>
      </c>
      <c r="F432" s="446">
        <v>1</v>
      </c>
      <c r="G432" s="446"/>
      <c r="H432" s="385">
        <f t="shared" si="25"/>
        <v>1</v>
      </c>
    </row>
    <row r="433" spans="2:8" s="65" customFormat="1" ht="20.100000000000001" customHeight="1" x14ac:dyDescent="0.25">
      <c r="B433" s="473"/>
      <c r="C433" s="474"/>
      <c r="D433" s="61" t="s">
        <v>382</v>
      </c>
      <c r="E433" s="67" t="s">
        <v>340</v>
      </c>
      <c r="F433" s="446">
        <v>6</v>
      </c>
      <c r="G433" s="446"/>
      <c r="H433" s="385">
        <f t="shared" si="25"/>
        <v>6</v>
      </c>
    </row>
    <row r="434" spans="2:8" s="65" customFormat="1" ht="20.100000000000001" customHeight="1" x14ac:dyDescent="0.25">
      <c r="B434" s="473"/>
      <c r="C434" s="474"/>
      <c r="D434" s="61" t="s">
        <v>429</v>
      </c>
      <c r="E434" s="67" t="s">
        <v>340</v>
      </c>
      <c r="F434" s="446">
        <v>1</v>
      </c>
      <c r="G434" s="446"/>
      <c r="H434" s="385">
        <f t="shared" si="25"/>
        <v>1</v>
      </c>
    </row>
    <row r="435" spans="2:8" s="65" customFormat="1" ht="20.100000000000001" customHeight="1" x14ac:dyDescent="0.25">
      <c r="B435" s="473"/>
      <c r="C435" s="474"/>
      <c r="D435" s="61" t="s">
        <v>430</v>
      </c>
      <c r="E435" s="67" t="s">
        <v>340</v>
      </c>
      <c r="F435" s="446">
        <v>1</v>
      </c>
      <c r="G435" s="446"/>
      <c r="H435" s="385">
        <f t="shared" si="25"/>
        <v>1</v>
      </c>
    </row>
    <row r="436" spans="2:8" s="65" customFormat="1" ht="20.100000000000001" customHeight="1" x14ac:dyDescent="0.25">
      <c r="B436" s="473"/>
      <c r="C436" s="474"/>
      <c r="D436" s="61" t="s">
        <v>431</v>
      </c>
      <c r="E436" s="67" t="s">
        <v>340</v>
      </c>
      <c r="F436" s="446">
        <v>3</v>
      </c>
      <c r="G436" s="446"/>
      <c r="H436" s="385">
        <f t="shared" si="25"/>
        <v>3</v>
      </c>
    </row>
    <row r="437" spans="2:8" s="65" customFormat="1" ht="20.100000000000001" customHeight="1" x14ac:dyDescent="0.25">
      <c r="B437" s="473"/>
      <c r="C437" s="474"/>
      <c r="D437" s="61" t="s">
        <v>439</v>
      </c>
      <c r="E437" s="67" t="s">
        <v>340</v>
      </c>
      <c r="F437" s="446">
        <v>1</v>
      </c>
      <c r="G437" s="446"/>
      <c r="H437" s="385">
        <f t="shared" si="25"/>
        <v>1</v>
      </c>
    </row>
    <row r="438" spans="2:8" s="65" customFormat="1" ht="20.100000000000001" customHeight="1" x14ac:dyDescent="0.25">
      <c r="B438" s="473"/>
      <c r="C438" s="474"/>
      <c r="D438" s="61" t="s">
        <v>444</v>
      </c>
      <c r="E438" s="67" t="s">
        <v>340</v>
      </c>
      <c r="F438" s="446">
        <v>1</v>
      </c>
      <c r="G438" s="446"/>
      <c r="H438" s="385">
        <f t="shared" si="25"/>
        <v>1</v>
      </c>
    </row>
    <row r="439" spans="2:8" s="65" customFormat="1" ht="20.100000000000001" customHeight="1" x14ac:dyDescent="0.25">
      <c r="B439" s="473"/>
      <c r="C439" s="474"/>
      <c r="D439" s="61" t="s">
        <v>432</v>
      </c>
      <c r="E439" s="67" t="s">
        <v>340</v>
      </c>
      <c r="F439" s="446">
        <v>3</v>
      </c>
      <c r="G439" s="446"/>
      <c r="H439" s="385">
        <f t="shared" si="25"/>
        <v>3</v>
      </c>
    </row>
    <row r="440" spans="2:8" s="65" customFormat="1" ht="20.100000000000001" customHeight="1" x14ac:dyDescent="0.25">
      <c r="B440" s="473"/>
      <c r="C440" s="474"/>
      <c r="D440" s="61" t="s">
        <v>433</v>
      </c>
      <c r="E440" s="67" t="s">
        <v>340</v>
      </c>
      <c r="F440" s="446">
        <v>2</v>
      </c>
      <c r="G440" s="446"/>
      <c r="H440" s="385">
        <f t="shared" si="25"/>
        <v>2</v>
      </c>
    </row>
    <row r="441" spans="2:8" s="65" customFormat="1" ht="20.100000000000001" customHeight="1" x14ac:dyDescent="0.25">
      <c r="B441" s="473"/>
      <c r="C441" s="474"/>
      <c r="D441" s="61" t="s">
        <v>434</v>
      </c>
      <c r="E441" s="67" t="s">
        <v>340</v>
      </c>
      <c r="F441" s="446">
        <v>1</v>
      </c>
      <c r="G441" s="446"/>
      <c r="H441" s="385">
        <f t="shared" si="25"/>
        <v>1</v>
      </c>
    </row>
    <row r="442" spans="2:8" s="65" customFormat="1" ht="20.100000000000001" customHeight="1" x14ac:dyDescent="0.25">
      <c r="B442" s="473"/>
      <c r="C442" s="474"/>
      <c r="D442" s="61" t="s">
        <v>435</v>
      </c>
      <c r="E442" s="67" t="s">
        <v>340</v>
      </c>
      <c r="F442" s="446">
        <v>1</v>
      </c>
      <c r="G442" s="446"/>
      <c r="H442" s="385">
        <f t="shared" si="25"/>
        <v>1</v>
      </c>
    </row>
    <row r="443" spans="2:8" s="65" customFormat="1" ht="20.100000000000001" customHeight="1" x14ac:dyDescent="0.25">
      <c r="B443" s="473"/>
      <c r="C443" s="474"/>
      <c r="D443" s="61" t="s">
        <v>436</v>
      </c>
      <c r="E443" s="67" t="s">
        <v>340</v>
      </c>
      <c r="F443" s="446">
        <v>1</v>
      </c>
      <c r="G443" s="446"/>
      <c r="H443" s="385">
        <f t="shared" si="25"/>
        <v>1</v>
      </c>
    </row>
    <row r="444" spans="2:8" s="65" customFormat="1" ht="20.100000000000001" customHeight="1" x14ac:dyDescent="0.25">
      <c r="B444" s="473"/>
      <c r="C444" s="474"/>
      <c r="D444" s="61" t="s">
        <v>437</v>
      </c>
      <c r="E444" s="67" t="s">
        <v>340</v>
      </c>
      <c r="F444" s="446">
        <v>1</v>
      </c>
      <c r="G444" s="446"/>
      <c r="H444" s="385">
        <f t="shared" si="25"/>
        <v>1</v>
      </c>
    </row>
    <row r="445" spans="2:8" s="65" customFormat="1" ht="20.100000000000001" customHeight="1" x14ac:dyDescent="0.25">
      <c r="B445" s="473"/>
      <c r="C445" s="474"/>
      <c r="D445" s="61" t="s">
        <v>438</v>
      </c>
      <c r="E445" s="67" t="s">
        <v>340</v>
      </c>
      <c r="F445" s="446">
        <v>5</v>
      </c>
      <c r="G445" s="446"/>
      <c r="H445" s="385">
        <f t="shared" si="25"/>
        <v>5</v>
      </c>
    </row>
    <row r="446" spans="2:8" s="65" customFormat="1" ht="20.100000000000001" customHeight="1" x14ac:dyDescent="0.25">
      <c r="B446" s="473"/>
      <c r="C446" s="474"/>
      <c r="D446" s="61" t="s">
        <v>440</v>
      </c>
      <c r="E446" s="67" t="s">
        <v>340</v>
      </c>
      <c r="F446" s="446">
        <v>4</v>
      </c>
      <c r="G446" s="446"/>
      <c r="H446" s="385">
        <f t="shared" si="25"/>
        <v>4</v>
      </c>
    </row>
    <row r="447" spans="2:8" s="65" customFormat="1" ht="20.100000000000001" customHeight="1" x14ac:dyDescent="0.25">
      <c r="B447" s="473"/>
      <c r="C447" s="474"/>
      <c r="D447" s="61" t="s">
        <v>360</v>
      </c>
      <c r="E447" s="67" t="s">
        <v>340</v>
      </c>
      <c r="F447" s="446">
        <v>2</v>
      </c>
      <c r="G447" s="446"/>
      <c r="H447" s="385">
        <f t="shared" si="25"/>
        <v>2</v>
      </c>
    </row>
    <row r="448" spans="2:8" s="65" customFormat="1" ht="20.100000000000001" customHeight="1" x14ac:dyDescent="0.25">
      <c r="B448" s="473"/>
      <c r="C448" s="474"/>
      <c r="D448" s="61" t="s">
        <v>441</v>
      </c>
      <c r="E448" s="67" t="s">
        <v>340</v>
      </c>
      <c r="F448" s="446">
        <v>4</v>
      </c>
      <c r="G448" s="446"/>
      <c r="H448" s="385">
        <f t="shared" si="25"/>
        <v>4</v>
      </c>
    </row>
    <row r="449" spans="2:8" s="65" customFormat="1" ht="20.100000000000001" customHeight="1" x14ac:dyDescent="0.25">
      <c r="B449" s="473"/>
      <c r="C449" s="474"/>
      <c r="D449" s="61" t="s">
        <v>128</v>
      </c>
      <c r="E449" s="67" t="s">
        <v>340</v>
      </c>
      <c r="F449" s="446">
        <v>4</v>
      </c>
      <c r="G449" s="446"/>
      <c r="H449" s="385">
        <f t="shared" si="25"/>
        <v>4</v>
      </c>
    </row>
    <row r="450" spans="2:8" s="65" customFormat="1" ht="20.100000000000001" customHeight="1" x14ac:dyDescent="0.25">
      <c r="B450" s="473"/>
      <c r="C450" s="474"/>
      <c r="D450" s="61" t="s">
        <v>315</v>
      </c>
      <c r="E450" s="67" t="s">
        <v>340</v>
      </c>
      <c r="F450" s="446">
        <v>2</v>
      </c>
      <c r="G450" s="446"/>
      <c r="H450" s="385">
        <f t="shared" si="25"/>
        <v>2</v>
      </c>
    </row>
    <row r="451" spans="2:8" s="65" customFormat="1" ht="20.100000000000001" customHeight="1" x14ac:dyDescent="0.25">
      <c r="B451" s="473"/>
      <c r="C451" s="474"/>
      <c r="D451" s="61" t="s">
        <v>129</v>
      </c>
      <c r="E451" s="67" t="s">
        <v>340</v>
      </c>
      <c r="F451" s="446">
        <v>4</v>
      </c>
      <c r="G451" s="446"/>
      <c r="H451" s="385">
        <f t="shared" si="25"/>
        <v>4</v>
      </c>
    </row>
    <row r="452" spans="2:8" s="65" customFormat="1" ht="20.100000000000001" customHeight="1" x14ac:dyDescent="0.25">
      <c r="B452" s="473"/>
      <c r="C452" s="474"/>
      <c r="D452" s="61" t="s">
        <v>120</v>
      </c>
      <c r="E452" s="67" t="s">
        <v>340</v>
      </c>
      <c r="F452" s="446">
        <v>4</v>
      </c>
      <c r="G452" s="446"/>
      <c r="H452" s="385">
        <f t="shared" si="25"/>
        <v>4</v>
      </c>
    </row>
    <row r="453" spans="2:8" s="65" customFormat="1" ht="20.100000000000001" customHeight="1" x14ac:dyDescent="0.25">
      <c r="B453" s="473"/>
      <c r="C453" s="474"/>
      <c r="D453" s="61" t="s">
        <v>316</v>
      </c>
      <c r="E453" s="67" t="s">
        <v>340</v>
      </c>
      <c r="F453" s="446">
        <v>2</v>
      </c>
      <c r="G453" s="446"/>
      <c r="H453" s="385">
        <f t="shared" si="25"/>
        <v>2</v>
      </c>
    </row>
    <row r="454" spans="2:8" s="65" customFormat="1" ht="20.100000000000001" customHeight="1" x14ac:dyDescent="0.25">
      <c r="B454" s="473"/>
      <c r="C454" s="474"/>
      <c r="D454" s="61" t="s">
        <v>189</v>
      </c>
      <c r="E454" s="67" t="s">
        <v>340</v>
      </c>
      <c r="F454" s="446">
        <v>4</v>
      </c>
      <c r="G454" s="446"/>
      <c r="H454" s="385">
        <f t="shared" si="25"/>
        <v>4</v>
      </c>
    </row>
    <row r="455" spans="2:8" s="65" customFormat="1" ht="20.100000000000001" customHeight="1" x14ac:dyDescent="0.25">
      <c r="B455" s="473"/>
      <c r="C455" s="474"/>
      <c r="D455" s="61" t="s">
        <v>137</v>
      </c>
      <c r="E455" s="67" t="s">
        <v>340</v>
      </c>
      <c r="F455" s="446">
        <v>2</v>
      </c>
      <c r="G455" s="446"/>
      <c r="H455" s="385">
        <f t="shared" si="25"/>
        <v>2</v>
      </c>
    </row>
    <row r="456" spans="2:8" s="65" customFormat="1" ht="20.100000000000001" customHeight="1" x14ac:dyDescent="0.25">
      <c r="B456" s="473"/>
      <c r="C456" s="474"/>
      <c r="D456" s="61" t="s">
        <v>297</v>
      </c>
      <c r="E456" s="67" t="s">
        <v>340</v>
      </c>
      <c r="F456" s="446">
        <v>4</v>
      </c>
      <c r="G456" s="446"/>
      <c r="H456" s="385">
        <f t="shared" si="25"/>
        <v>4</v>
      </c>
    </row>
    <row r="457" spans="2:8" s="65" customFormat="1" ht="20.100000000000001" customHeight="1" x14ac:dyDescent="0.25">
      <c r="B457" s="473"/>
      <c r="C457" s="474"/>
      <c r="D457" s="61" t="s">
        <v>186</v>
      </c>
      <c r="E457" s="67" t="s">
        <v>340</v>
      </c>
      <c r="F457" s="446">
        <v>8</v>
      </c>
      <c r="G457" s="446"/>
      <c r="H457" s="385">
        <f t="shared" si="25"/>
        <v>8</v>
      </c>
    </row>
    <row r="458" spans="2:8" s="65" customFormat="1" ht="20.100000000000001" customHeight="1" x14ac:dyDescent="0.25">
      <c r="B458" s="473"/>
      <c r="C458" s="474"/>
      <c r="D458" s="61" t="s">
        <v>205</v>
      </c>
      <c r="E458" s="67" t="s">
        <v>340</v>
      </c>
      <c r="F458" s="446">
        <v>6</v>
      </c>
      <c r="G458" s="446"/>
      <c r="H458" s="385">
        <f t="shared" si="25"/>
        <v>6</v>
      </c>
    </row>
    <row r="459" spans="2:8" s="65" customFormat="1" ht="20.100000000000001" customHeight="1" x14ac:dyDescent="0.25">
      <c r="B459" s="473"/>
      <c r="C459" s="474"/>
      <c r="D459" s="61" t="s">
        <v>312</v>
      </c>
      <c r="E459" s="67" t="s">
        <v>340</v>
      </c>
      <c r="F459" s="446">
        <v>1</v>
      </c>
      <c r="G459" s="446"/>
      <c r="H459" s="385">
        <f t="shared" si="25"/>
        <v>1</v>
      </c>
    </row>
    <row r="460" spans="2:8" s="65" customFormat="1" ht="20.100000000000001" customHeight="1" x14ac:dyDescent="0.25">
      <c r="B460" s="473"/>
      <c r="C460" s="474"/>
      <c r="D460" s="61" t="s">
        <v>147</v>
      </c>
      <c r="E460" s="67" t="s">
        <v>340</v>
      </c>
      <c r="F460" s="446">
        <v>2</v>
      </c>
      <c r="G460" s="446"/>
      <c r="H460" s="385">
        <f t="shared" si="25"/>
        <v>2</v>
      </c>
    </row>
    <row r="461" spans="2:8" s="65" customFormat="1" ht="20.100000000000001" customHeight="1" x14ac:dyDescent="0.25">
      <c r="B461" s="473"/>
      <c r="C461" s="474"/>
      <c r="D461" s="61" t="s">
        <v>364</v>
      </c>
      <c r="E461" s="67" t="s">
        <v>340</v>
      </c>
      <c r="F461" s="446">
        <v>3</v>
      </c>
      <c r="G461" s="446"/>
      <c r="H461" s="385">
        <f t="shared" si="25"/>
        <v>3</v>
      </c>
    </row>
    <row r="462" spans="2:8" s="65" customFormat="1" ht="20.100000000000001" customHeight="1" x14ac:dyDescent="0.25">
      <c r="B462" s="473"/>
      <c r="C462" s="474"/>
      <c r="D462" s="61" t="s">
        <v>147</v>
      </c>
      <c r="E462" s="67" t="s">
        <v>340</v>
      </c>
      <c r="F462" s="446">
        <v>2</v>
      </c>
      <c r="G462" s="446"/>
      <c r="H462" s="385">
        <f t="shared" si="25"/>
        <v>2</v>
      </c>
    </row>
    <row r="463" spans="2:8" s="65" customFormat="1" ht="20.100000000000001" customHeight="1" x14ac:dyDescent="0.25">
      <c r="B463" s="473"/>
      <c r="C463" s="474"/>
      <c r="D463" s="61" t="s">
        <v>354</v>
      </c>
      <c r="E463" s="67" t="s">
        <v>340</v>
      </c>
      <c r="F463" s="446">
        <v>2</v>
      </c>
      <c r="G463" s="446"/>
      <c r="H463" s="385">
        <f t="shared" si="25"/>
        <v>2</v>
      </c>
    </row>
    <row r="464" spans="2:8" s="65" customFormat="1" ht="20.100000000000001" customHeight="1" x14ac:dyDescent="0.25">
      <c r="B464" s="473"/>
      <c r="C464" s="474"/>
      <c r="D464" s="61" t="s">
        <v>449</v>
      </c>
      <c r="E464" s="67" t="s">
        <v>340</v>
      </c>
      <c r="F464" s="446">
        <v>2</v>
      </c>
      <c r="G464" s="446"/>
      <c r="H464" s="385">
        <f t="shared" si="25"/>
        <v>2</v>
      </c>
    </row>
    <row r="465" spans="2:8" s="65" customFormat="1" ht="20.100000000000001" customHeight="1" x14ac:dyDescent="0.25">
      <c r="B465" s="473"/>
      <c r="C465" s="474"/>
      <c r="D465" s="61" t="s">
        <v>141</v>
      </c>
      <c r="E465" s="67" t="s">
        <v>340</v>
      </c>
      <c r="F465" s="446">
        <v>6</v>
      </c>
      <c r="G465" s="446"/>
      <c r="H465" s="385">
        <f t="shared" ref="H465:H469" si="26">F465</f>
        <v>6</v>
      </c>
    </row>
    <row r="466" spans="2:8" s="65" customFormat="1" ht="20.100000000000001" customHeight="1" x14ac:dyDescent="0.25">
      <c r="B466" s="473"/>
      <c r="C466" s="474"/>
      <c r="D466" s="61" t="s">
        <v>121</v>
      </c>
      <c r="E466" s="67" t="s">
        <v>340</v>
      </c>
      <c r="F466" s="446">
        <v>6</v>
      </c>
      <c r="G466" s="446"/>
      <c r="H466" s="385">
        <f t="shared" si="26"/>
        <v>6</v>
      </c>
    </row>
    <row r="467" spans="2:8" s="65" customFormat="1" ht="20.100000000000001" customHeight="1" x14ac:dyDescent="0.25">
      <c r="B467" s="473"/>
      <c r="C467" s="474"/>
      <c r="D467" s="61" t="s">
        <v>142</v>
      </c>
      <c r="E467" s="67" t="s">
        <v>340</v>
      </c>
      <c r="F467" s="446">
        <v>6</v>
      </c>
      <c r="G467" s="446"/>
      <c r="H467" s="385">
        <f t="shared" si="26"/>
        <v>6</v>
      </c>
    </row>
    <row r="468" spans="2:8" s="65" customFormat="1" ht="20.100000000000001" customHeight="1" x14ac:dyDescent="0.25">
      <c r="B468" s="467"/>
      <c r="C468" s="468"/>
      <c r="D468" s="61" t="s">
        <v>193</v>
      </c>
      <c r="E468" s="67" t="s">
        <v>340</v>
      </c>
      <c r="F468" s="446">
        <v>2</v>
      </c>
      <c r="G468" s="446"/>
      <c r="H468" s="385">
        <f t="shared" si="26"/>
        <v>2</v>
      </c>
    </row>
    <row r="469" spans="2:8" s="65" customFormat="1" ht="20.100000000000001" customHeight="1" x14ac:dyDescent="0.25">
      <c r="B469" s="463"/>
      <c r="C469" s="464"/>
      <c r="D469" s="61" t="s">
        <v>194</v>
      </c>
      <c r="E469" s="67" t="s">
        <v>340</v>
      </c>
      <c r="F469" s="446">
        <v>2</v>
      </c>
      <c r="G469" s="446"/>
      <c r="H469" s="385">
        <f t="shared" si="26"/>
        <v>2</v>
      </c>
    </row>
    <row r="470" spans="2:8" s="65" customFormat="1" ht="20.100000000000001" customHeight="1" x14ac:dyDescent="0.25">
      <c r="B470" s="386" t="s">
        <v>584</v>
      </c>
      <c r="C470" s="163" t="s">
        <v>562</v>
      </c>
      <c r="D470" s="143" t="s">
        <v>563</v>
      </c>
      <c r="E470" s="330" t="s">
        <v>29</v>
      </c>
      <c r="F470" s="455" t="s">
        <v>26</v>
      </c>
      <c r="G470" s="455"/>
      <c r="H470" s="387">
        <f>H471</f>
        <v>15</v>
      </c>
    </row>
    <row r="471" spans="2:8" s="65" customFormat="1" ht="20.100000000000001" customHeight="1" x14ac:dyDescent="0.25">
      <c r="B471" s="463"/>
      <c r="C471" s="487"/>
      <c r="D471" s="61" t="s">
        <v>583</v>
      </c>
      <c r="E471" s="67" t="s">
        <v>29</v>
      </c>
      <c r="F471" s="446">
        <v>15</v>
      </c>
      <c r="G471" s="446"/>
      <c r="H471" s="385">
        <f>F471</f>
        <v>15</v>
      </c>
    </row>
    <row r="472" spans="2:8" s="65" customFormat="1" ht="20.100000000000001" customHeight="1" x14ac:dyDescent="0.25">
      <c r="B472" s="386" t="s">
        <v>585</v>
      </c>
      <c r="C472" s="163" t="s">
        <v>565</v>
      </c>
      <c r="D472" s="143" t="s">
        <v>564</v>
      </c>
      <c r="E472" s="330" t="s">
        <v>29</v>
      </c>
      <c r="F472" s="455" t="s">
        <v>26</v>
      </c>
      <c r="G472" s="455"/>
      <c r="H472" s="387">
        <f>H473</f>
        <v>22</v>
      </c>
    </row>
    <row r="473" spans="2:8" s="65" customFormat="1" ht="20.100000000000001" customHeight="1" x14ac:dyDescent="0.25">
      <c r="B473" s="463"/>
      <c r="C473" s="487"/>
      <c r="D473" s="61" t="s">
        <v>583</v>
      </c>
      <c r="E473" s="67" t="s">
        <v>29</v>
      </c>
      <c r="F473" s="446">
        <v>22</v>
      </c>
      <c r="G473" s="446"/>
      <c r="H473" s="385">
        <v>22</v>
      </c>
    </row>
    <row r="474" spans="2:8" s="65" customFormat="1" ht="20.100000000000001" customHeight="1" x14ac:dyDescent="0.25">
      <c r="B474" s="386" t="s">
        <v>586</v>
      </c>
      <c r="C474" s="163" t="s">
        <v>566</v>
      </c>
      <c r="D474" s="143" t="s">
        <v>567</v>
      </c>
      <c r="E474" s="330" t="s">
        <v>29</v>
      </c>
      <c r="F474" s="455" t="s">
        <v>26</v>
      </c>
      <c r="G474" s="455"/>
      <c r="H474" s="387">
        <f>H475</f>
        <v>40</v>
      </c>
    </row>
    <row r="475" spans="2:8" s="65" customFormat="1" ht="20.100000000000001" customHeight="1" x14ac:dyDescent="0.25">
      <c r="B475" s="463"/>
      <c r="C475" s="487"/>
      <c r="D475" s="61" t="s">
        <v>583</v>
      </c>
      <c r="E475" s="67" t="s">
        <v>29</v>
      </c>
      <c r="F475" s="446">
        <v>40</v>
      </c>
      <c r="G475" s="446"/>
      <c r="H475" s="385">
        <f>F475</f>
        <v>40</v>
      </c>
    </row>
    <row r="476" spans="2:8" s="65" customFormat="1" ht="20.100000000000001" customHeight="1" x14ac:dyDescent="0.25">
      <c r="B476" s="386" t="s">
        <v>587</v>
      </c>
      <c r="C476" s="163" t="s">
        <v>569</v>
      </c>
      <c r="D476" s="143" t="s">
        <v>568</v>
      </c>
      <c r="E476" s="330" t="s">
        <v>29</v>
      </c>
      <c r="F476" s="455" t="s">
        <v>26</v>
      </c>
      <c r="G476" s="455"/>
      <c r="H476" s="387">
        <f>H477</f>
        <v>20</v>
      </c>
    </row>
    <row r="477" spans="2:8" s="65" customFormat="1" ht="20.100000000000001" customHeight="1" x14ac:dyDescent="0.25">
      <c r="B477" s="463"/>
      <c r="C477" s="487"/>
      <c r="D477" s="61" t="s">
        <v>583</v>
      </c>
      <c r="E477" s="67" t="s">
        <v>29</v>
      </c>
      <c r="F477" s="446">
        <v>20</v>
      </c>
      <c r="G477" s="446"/>
      <c r="H477" s="385">
        <f>F477</f>
        <v>20</v>
      </c>
    </row>
    <row r="478" spans="2:8" s="65" customFormat="1" ht="20.100000000000001" customHeight="1" x14ac:dyDescent="0.25">
      <c r="B478" s="386" t="s">
        <v>588</v>
      </c>
      <c r="C478" s="163" t="s">
        <v>570</v>
      </c>
      <c r="D478" s="143" t="s">
        <v>572</v>
      </c>
      <c r="E478" s="330" t="s">
        <v>29</v>
      </c>
      <c r="F478" s="455" t="s">
        <v>26</v>
      </c>
      <c r="G478" s="455"/>
      <c r="H478" s="387">
        <f>H479</f>
        <v>550</v>
      </c>
    </row>
    <row r="479" spans="2:8" s="65" customFormat="1" ht="20.100000000000001" customHeight="1" x14ac:dyDescent="0.25">
      <c r="B479" s="463"/>
      <c r="C479" s="487"/>
      <c r="D479" s="61" t="s">
        <v>583</v>
      </c>
      <c r="E479" s="67" t="s">
        <v>29</v>
      </c>
      <c r="F479" s="446">
        <v>550</v>
      </c>
      <c r="G479" s="446"/>
      <c r="H479" s="385">
        <f>F479</f>
        <v>550</v>
      </c>
    </row>
    <row r="480" spans="2:8" s="65" customFormat="1" ht="20.100000000000001" customHeight="1" x14ac:dyDescent="0.25">
      <c r="B480" s="386" t="s">
        <v>589</v>
      </c>
      <c r="C480" s="163" t="s">
        <v>571</v>
      </c>
      <c r="D480" s="143" t="s">
        <v>573</v>
      </c>
      <c r="E480" s="330" t="s">
        <v>29</v>
      </c>
      <c r="F480" s="455" t="s">
        <v>26</v>
      </c>
      <c r="G480" s="455"/>
      <c r="H480" s="387">
        <f>H481</f>
        <v>275</v>
      </c>
    </row>
    <row r="481" spans="1:8" s="65" customFormat="1" ht="20.100000000000001" customHeight="1" x14ac:dyDescent="0.25">
      <c r="B481" s="463"/>
      <c r="C481" s="487"/>
      <c r="D481" s="61" t="s">
        <v>583</v>
      </c>
      <c r="E481" s="67" t="s">
        <v>29</v>
      </c>
      <c r="F481" s="446">
        <v>275</v>
      </c>
      <c r="G481" s="446"/>
      <c r="H481" s="385">
        <f>F481</f>
        <v>275</v>
      </c>
    </row>
    <row r="482" spans="1:8" s="65" customFormat="1" ht="20.100000000000001" customHeight="1" x14ac:dyDescent="0.25">
      <c r="B482" s="386" t="s">
        <v>590</v>
      </c>
      <c r="C482" s="162" t="s">
        <v>576</v>
      </c>
      <c r="D482" s="143" t="s">
        <v>574</v>
      </c>
      <c r="E482" s="330" t="s">
        <v>29</v>
      </c>
      <c r="F482" s="455" t="s">
        <v>26</v>
      </c>
      <c r="G482" s="455"/>
      <c r="H482" s="387">
        <f>H483</f>
        <v>670</v>
      </c>
    </row>
    <row r="483" spans="1:8" s="65" customFormat="1" ht="20.100000000000001" customHeight="1" x14ac:dyDescent="0.25">
      <c r="B483" s="463"/>
      <c r="C483" s="487"/>
      <c r="D483" s="61" t="s">
        <v>583</v>
      </c>
      <c r="E483" s="67" t="s">
        <v>29</v>
      </c>
      <c r="F483" s="446">
        <v>670</v>
      </c>
      <c r="G483" s="446"/>
      <c r="H483" s="385">
        <f>F483</f>
        <v>670</v>
      </c>
    </row>
    <row r="484" spans="1:8" s="65" customFormat="1" ht="20.100000000000001" customHeight="1" x14ac:dyDescent="0.25">
      <c r="A484" s="137"/>
      <c r="B484" s="386" t="s">
        <v>591</v>
      </c>
      <c r="C484" s="163" t="s">
        <v>576</v>
      </c>
      <c r="D484" s="143" t="s">
        <v>575</v>
      </c>
      <c r="E484" s="330" t="s">
        <v>29</v>
      </c>
      <c r="F484" s="455" t="s">
        <v>26</v>
      </c>
      <c r="G484" s="455"/>
      <c r="H484" s="387">
        <f>H485</f>
        <v>335</v>
      </c>
    </row>
    <row r="485" spans="1:8" s="65" customFormat="1" ht="20.100000000000001" customHeight="1" x14ac:dyDescent="0.25">
      <c r="B485" s="463"/>
      <c r="C485" s="487"/>
      <c r="D485" s="61" t="s">
        <v>583</v>
      </c>
      <c r="E485" s="67" t="s">
        <v>29</v>
      </c>
      <c r="F485" s="446">
        <v>335</v>
      </c>
      <c r="G485" s="446"/>
      <c r="H485" s="385">
        <f>F485</f>
        <v>335</v>
      </c>
    </row>
    <row r="486" spans="1:8" s="65" customFormat="1" ht="20.100000000000001" customHeight="1" x14ac:dyDescent="0.25">
      <c r="B486" s="386" t="s">
        <v>592</v>
      </c>
      <c r="C486" s="163" t="s">
        <v>579</v>
      </c>
      <c r="D486" s="143" t="s">
        <v>577</v>
      </c>
      <c r="E486" s="330" t="s">
        <v>29</v>
      </c>
      <c r="F486" s="455" t="s">
        <v>26</v>
      </c>
      <c r="G486" s="455"/>
      <c r="H486" s="387">
        <f>H487</f>
        <v>1500</v>
      </c>
    </row>
    <row r="487" spans="1:8" s="65" customFormat="1" ht="20.100000000000001" customHeight="1" x14ac:dyDescent="0.25">
      <c r="B487" s="463"/>
      <c r="C487" s="487"/>
      <c r="D487" s="61" t="s">
        <v>583</v>
      </c>
      <c r="E487" s="67" t="s">
        <v>29</v>
      </c>
      <c r="F487" s="446">
        <v>1500</v>
      </c>
      <c r="G487" s="446"/>
      <c r="H487" s="385">
        <f>F487</f>
        <v>1500</v>
      </c>
    </row>
    <row r="488" spans="1:8" s="65" customFormat="1" ht="20.100000000000001" customHeight="1" x14ac:dyDescent="0.25">
      <c r="B488" s="386" t="s">
        <v>593</v>
      </c>
      <c r="C488" s="163" t="s">
        <v>579</v>
      </c>
      <c r="D488" s="143" t="s">
        <v>578</v>
      </c>
      <c r="E488" s="330" t="s">
        <v>29</v>
      </c>
      <c r="F488" s="455" t="s">
        <v>26</v>
      </c>
      <c r="G488" s="455"/>
      <c r="H488" s="387">
        <f>H489</f>
        <v>750</v>
      </c>
    </row>
    <row r="489" spans="1:8" s="65" customFormat="1" ht="20.100000000000001" customHeight="1" x14ac:dyDescent="0.25">
      <c r="B489" s="463"/>
      <c r="C489" s="487"/>
      <c r="D489" s="61" t="s">
        <v>583</v>
      </c>
      <c r="E489" s="67" t="s">
        <v>29</v>
      </c>
      <c r="F489" s="446">
        <v>750</v>
      </c>
      <c r="G489" s="446"/>
      <c r="H489" s="385">
        <f>F489</f>
        <v>750</v>
      </c>
    </row>
    <row r="490" spans="1:8" s="65" customFormat="1" ht="20.100000000000001" customHeight="1" x14ac:dyDescent="0.25">
      <c r="B490" s="386" t="s">
        <v>594</v>
      </c>
      <c r="C490" s="163" t="s">
        <v>582</v>
      </c>
      <c r="D490" s="143" t="s">
        <v>580</v>
      </c>
      <c r="E490" s="330" t="s">
        <v>29</v>
      </c>
      <c r="F490" s="455" t="s">
        <v>26</v>
      </c>
      <c r="G490" s="455"/>
      <c r="H490" s="387">
        <f>H491</f>
        <v>650</v>
      </c>
    </row>
    <row r="491" spans="1:8" s="65" customFormat="1" ht="20.100000000000001" customHeight="1" x14ac:dyDescent="0.25">
      <c r="B491" s="463"/>
      <c r="C491" s="487"/>
      <c r="D491" s="61" t="s">
        <v>583</v>
      </c>
      <c r="E491" s="67" t="s">
        <v>29</v>
      </c>
      <c r="F491" s="446">
        <v>650</v>
      </c>
      <c r="G491" s="446"/>
      <c r="H491" s="385">
        <f>F491</f>
        <v>650</v>
      </c>
    </row>
    <row r="492" spans="1:8" s="65" customFormat="1" ht="20.100000000000001" customHeight="1" x14ac:dyDescent="0.25">
      <c r="B492" s="386" t="s">
        <v>595</v>
      </c>
      <c r="C492" s="163" t="s">
        <v>582</v>
      </c>
      <c r="D492" s="143" t="s">
        <v>581</v>
      </c>
      <c r="E492" s="330" t="s">
        <v>29</v>
      </c>
      <c r="F492" s="455" t="s">
        <v>26</v>
      </c>
      <c r="G492" s="455"/>
      <c r="H492" s="387">
        <f>H493</f>
        <v>600</v>
      </c>
    </row>
    <row r="493" spans="1:8" s="65" customFormat="1" ht="20.100000000000001" customHeight="1" x14ac:dyDescent="0.25">
      <c r="B493" s="463"/>
      <c r="C493" s="487"/>
      <c r="D493" s="61" t="s">
        <v>583</v>
      </c>
      <c r="E493" s="67" t="s">
        <v>29</v>
      </c>
      <c r="F493" s="446">
        <v>600</v>
      </c>
      <c r="G493" s="446"/>
      <c r="H493" s="385">
        <f>F493</f>
        <v>600</v>
      </c>
    </row>
    <row r="494" spans="1:8" s="65" customFormat="1" ht="20.100000000000001" customHeight="1" x14ac:dyDescent="0.25">
      <c r="B494" s="386" t="s">
        <v>605</v>
      </c>
      <c r="C494" s="163">
        <v>71173</v>
      </c>
      <c r="D494" s="143" t="s">
        <v>596</v>
      </c>
      <c r="E494" s="330" t="s">
        <v>340</v>
      </c>
      <c r="F494" s="455" t="s">
        <v>355</v>
      </c>
      <c r="G494" s="455"/>
      <c r="H494" s="387">
        <f>H495</f>
        <v>9</v>
      </c>
    </row>
    <row r="495" spans="1:8" s="65" customFormat="1" ht="20.100000000000001" customHeight="1" x14ac:dyDescent="0.25">
      <c r="B495" s="463"/>
      <c r="C495" s="487"/>
      <c r="D495" s="61" t="s">
        <v>583</v>
      </c>
      <c r="E495" s="67" t="s">
        <v>340</v>
      </c>
      <c r="F495" s="446">
        <v>9</v>
      </c>
      <c r="G495" s="446"/>
      <c r="H495" s="385">
        <f>F495</f>
        <v>9</v>
      </c>
    </row>
    <row r="496" spans="1:8" s="65" customFormat="1" ht="20.100000000000001" customHeight="1" x14ac:dyDescent="0.25">
      <c r="B496" s="386" t="s">
        <v>606</v>
      </c>
      <c r="C496" s="163">
        <v>71173</v>
      </c>
      <c r="D496" s="143" t="s">
        <v>597</v>
      </c>
      <c r="E496" s="330" t="s">
        <v>340</v>
      </c>
      <c r="F496" s="455" t="s">
        <v>355</v>
      </c>
      <c r="G496" s="455"/>
      <c r="H496" s="387">
        <f>H497</f>
        <v>3</v>
      </c>
    </row>
    <row r="497" spans="2:8" s="65" customFormat="1" ht="20.100000000000001" customHeight="1" x14ac:dyDescent="0.25">
      <c r="B497" s="463"/>
      <c r="C497" s="487"/>
      <c r="D497" s="61" t="s">
        <v>583</v>
      </c>
      <c r="E497" s="67" t="s">
        <v>340</v>
      </c>
      <c r="F497" s="446">
        <v>3</v>
      </c>
      <c r="G497" s="446"/>
      <c r="H497" s="385">
        <f>F497</f>
        <v>3</v>
      </c>
    </row>
    <row r="498" spans="2:8" s="65" customFormat="1" ht="20.100000000000001" customHeight="1" x14ac:dyDescent="0.25">
      <c r="B498" s="386" t="s">
        <v>607</v>
      </c>
      <c r="C498" s="163">
        <v>71173</v>
      </c>
      <c r="D498" s="143" t="s">
        <v>598</v>
      </c>
      <c r="E498" s="330" t="s">
        <v>340</v>
      </c>
      <c r="F498" s="455" t="s">
        <v>355</v>
      </c>
      <c r="G498" s="455"/>
      <c r="H498" s="387">
        <f>H499</f>
        <v>4</v>
      </c>
    </row>
    <row r="499" spans="2:8" s="65" customFormat="1" ht="20.100000000000001" customHeight="1" x14ac:dyDescent="0.25">
      <c r="B499" s="463"/>
      <c r="C499" s="487"/>
      <c r="D499" s="61" t="s">
        <v>583</v>
      </c>
      <c r="E499" s="67" t="s">
        <v>340</v>
      </c>
      <c r="F499" s="446">
        <v>4</v>
      </c>
      <c r="G499" s="446"/>
      <c r="H499" s="385">
        <f>F499</f>
        <v>4</v>
      </c>
    </row>
    <row r="500" spans="2:8" s="65" customFormat="1" ht="20.100000000000001" customHeight="1" x14ac:dyDescent="0.25">
      <c r="B500" s="386" t="s">
        <v>608</v>
      </c>
      <c r="C500" s="163">
        <v>71173</v>
      </c>
      <c r="D500" s="143" t="s">
        <v>599</v>
      </c>
      <c r="E500" s="330" t="s">
        <v>340</v>
      </c>
      <c r="F500" s="455" t="s">
        <v>355</v>
      </c>
      <c r="G500" s="455"/>
      <c r="H500" s="387">
        <f>H501</f>
        <v>13</v>
      </c>
    </row>
    <row r="501" spans="2:8" s="65" customFormat="1" ht="20.100000000000001" customHeight="1" x14ac:dyDescent="0.25">
      <c r="B501" s="463"/>
      <c r="C501" s="487"/>
      <c r="D501" s="61" t="s">
        <v>583</v>
      </c>
      <c r="E501" s="67" t="s">
        <v>340</v>
      </c>
      <c r="F501" s="446">
        <v>13</v>
      </c>
      <c r="G501" s="446"/>
      <c r="H501" s="385">
        <f>F501</f>
        <v>13</v>
      </c>
    </row>
    <row r="502" spans="2:8" s="65" customFormat="1" ht="20.100000000000001" customHeight="1" x14ac:dyDescent="0.25">
      <c r="B502" s="386" t="s">
        <v>609</v>
      </c>
      <c r="C502" s="163">
        <v>71174</v>
      </c>
      <c r="D502" s="143" t="s">
        <v>600</v>
      </c>
      <c r="E502" s="330" t="s">
        <v>340</v>
      </c>
      <c r="F502" s="455" t="s">
        <v>355</v>
      </c>
      <c r="G502" s="455"/>
      <c r="H502" s="387">
        <f>H503</f>
        <v>1</v>
      </c>
    </row>
    <row r="503" spans="2:8" s="65" customFormat="1" ht="20.100000000000001" customHeight="1" x14ac:dyDescent="0.25">
      <c r="B503" s="463"/>
      <c r="C503" s="487"/>
      <c r="D503" s="61" t="s">
        <v>583</v>
      </c>
      <c r="E503" s="67" t="s">
        <v>340</v>
      </c>
      <c r="F503" s="446">
        <v>1</v>
      </c>
      <c r="G503" s="446"/>
      <c r="H503" s="385">
        <f>F503</f>
        <v>1</v>
      </c>
    </row>
    <row r="504" spans="2:8" s="65" customFormat="1" ht="20.100000000000001" customHeight="1" x14ac:dyDescent="0.25">
      <c r="B504" s="386" t="s">
        <v>610</v>
      </c>
      <c r="C504" s="163">
        <v>71175</v>
      </c>
      <c r="D504" s="143" t="s">
        <v>601</v>
      </c>
      <c r="E504" s="330" t="s">
        <v>340</v>
      </c>
      <c r="F504" s="455" t="s">
        <v>355</v>
      </c>
      <c r="G504" s="455"/>
      <c r="H504" s="387">
        <f>H505</f>
        <v>1</v>
      </c>
    </row>
    <row r="505" spans="2:8" s="65" customFormat="1" ht="20.100000000000001" customHeight="1" x14ac:dyDescent="0.25">
      <c r="B505" s="463"/>
      <c r="C505" s="487"/>
      <c r="D505" s="61" t="s">
        <v>583</v>
      </c>
      <c r="E505" s="67" t="s">
        <v>340</v>
      </c>
      <c r="F505" s="446">
        <v>1</v>
      </c>
      <c r="G505" s="446"/>
      <c r="H505" s="385">
        <f>F505</f>
        <v>1</v>
      </c>
    </row>
    <row r="506" spans="2:8" s="65" customFormat="1" ht="20.100000000000001" customHeight="1" x14ac:dyDescent="0.25">
      <c r="B506" s="386" t="s">
        <v>611</v>
      </c>
      <c r="C506" s="163">
        <v>71175</v>
      </c>
      <c r="D506" s="143" t="s">
        <v>602</v>
      </c>
      <c r="E506" s="330" t="s">
        <v>340</v>
      </c>
      <c r="F506" s="455" t="s">
        <v>355</v>
      </c>
      <c r="G506" s="455"/>
      <c r="H506" s="387">
        <f>H507</f>
        <v>4</v>
      </c>
    </row>
    <row r="507" spans="2:8" s="65" customFormat="1" ht="20.100000000000001" customHeight="1" x14ac:dyDescent="0.25">
      <c r="B507" s="463"/>
      <c r="C507" s="487"/>
      <c r="D507" s="61" t="s">
        <v>583</v>
      </c>
      <c r="E507" s="67" t="s">
        <v>340</v>
      </c>
      <c r="F507" s="446">
        <v>4</v>
      </c>
      <c r="G507" s="446"/>
      <c r="H507" s="385">
        <f>F507</f>
        <v>4</v>
      </c>
    </row>
    <row r="508" spans="2:8" s="65" customFormat="1" ht="20.100000000000001" customHeight="1" x14ac:dyDescent="0.25">
      <c r="B508" s="386" t="s">
        <v>612</v>
      </c>
      <c r="C508" s="163">
        <v>71175</v>
      </c>
      <c r="D508" s="143" t="s">
        <v>603</v>
      </c>
      <c r="E508" s="330" t="s">
        <v>340</v>
      </c>
      <c r="F508" s="455" t="s">
        <v>355</v>
      </c>
      <c r="G508" s="455"/>
      <c r="H508" s="387">
        <f>H509</f>
        <v>1</v>
      </c>
    </row>
    <row r="509" spans="2:8" s="65" customFormat="1" ht="20.100000000000001" customHeight="1" x14ac:dyDescent="0.25">
      <c r="B509" s="463"/>
      <c r="C509" s="487"/>
      <c r="D509" s="61" t="s">
        <v>583</v>
      </c>
      <c r="E509" s="67" t="s">
        <v>340</v>
      </c>
      <c r="F509" s="446">
        <v>1</v>
      </c>
      <c r="G509" s="446"/>
      <c r="H509" s="385">
        <f>F509</f>
        <v>1</v>
      </c>
    </row>
    <row r="510" spans="2:8" s="65" customFormat="1" ht="20.100000000000001" customHeight="1" x14ac:dyDescent="0.25">
      <c r="B510" s="386" t="s">
        <v>613</v>
      </c>
      <c r="C510" s="163">
        <v>71177</v>
      </c>
      <c r="D510" s="143" t="s">
        <v>604</v>
      </c>
      <c r="E510" s="330" t="s">
        <v>340</v>
      </c>
      <c r="F510" s="455" t="s">
        <v>355</v>
      </c>
      <c r="G510" s="455"/>
      <c r="H510" s="387">
        <f>H511</f>
        <v>1</v>
      </c>
    </row>
    <row r="511" spans="2:8" s="65" customFormat="1" ht="20.100000000000001" customHeight="1" x14ac:dyDescent="0.25">
      <c r="B511" s="463"/>
      <c r="C511" s="464"/>
      <c r="D511" s="61" t="s">
        <v>583</v>
      </c>
      <c r="E511" s="67" t="s">
        <v>340</v>
      </c>
      <c r="F511" s="446">
        <v>1</v>
      </c>
      <c r="G511" s="446"/>
      <c r="H511" s="385">
        <f>F511</f>
        <v>1</v>
      </c>
    </row>
    <row r="512" spans="2:8" s="65" customFormat="1" ht="20.100000000000001" customHeight="1" x14ac:dyDescent="0.25">
      <c r="B512" s="386" t="s">
        <v>614</v>
      </c>
      <c r="C512" s="163" t="s">
        <v>616</v>
      </c>
      <c r="D512" s="143" t="s">
        <v>615</v>
      </c>
      <c r="E512" s="330" t="s">
        <v>340</v>
      </c>
      <c r="F512" s="455" t="s">
        <v>355</v>
      </c>
      <c r="G512" s="455"/>
      <c r="H512" s="387">
        <f>H513</f>
        <v>1</v>
      </c>
    </row>
    <row r="513" spans="2:8" s="65" customFormat="1" ht="20.100000000000001" customHeight="1" x14ac:dyDescent="0.25">
      <c r="B513" s="463"/>
      <c r="C513" s="487"/>
      <c r="D513" s="61" t="s">
        <v>583</v>
      </c>
      <c r="E513" s="67" t="s">
        <v>340</v>
      </c>
      <c r="F513" s="446">
        <v>1</v>
      </c>
      <c r="G513" s="446"/>
      <c r="H513" s="385">
        <f>F513</f>
        <v>1</v>
      </c>
    </row>
    <row r="514" spans="2:8" s="65" customFormat="1" ht="20.100000000000001" customHeight="1" x14ac:dyDescent="0.25">
      <c r="B514" s="386" t="s">
        <v>621</v>
      </c>
      <c r="C514" s="163">
        <v>71194</v>
      </c>
      <c r="D514" s="143" t="s">
        <v>617</v>
      </c>
      <c r="E514" s="330" t="s">
        <v>29</v>
      </c>
      <c r="F514" s="455" t="s">
        <v>26</v>
      </c>
      <c r="G514" s="455"/>
      <c r="H514" s="387">
        <f>H515</f>
        <v>515</v>
      </c>
    </row>
    <row r="515" spans="2:8" s="65" customFormat="1" ht="20.100000000000001" customHeight="1" x14ac:dyDescent="0.25">
      <c r="B515" s="463"/>
      <c r="C515" s="487"/>
      <c r="D515" s="61" t="s">
        <v>583</v>
      </c>
      <c r="E515" s="67" t="s">
        <v>29</v>
      </c>
      <c r="F515" s="446">
        <v>515</v>
      </c>
      <c r="G515" s="446"/>
      <c r="H515" s="385">
        <f>F515</f>
        <v>515</v>
      </c>
    </row>
    <row r="516" spans="2:8" s="65" customFormat="1" ht="20.100000000000001" customHeight="1" x14ac:dyDescent="0.25">
      <c r="B516" s="386" t="s">
        <v>622</v>
      </c>
      <c r="C516" s="163">
        <v>71195</v>
      </c>
      <c r="D516" s="143" t="s">
        <v>618</v>
      </c>
      <c r="E516" s="330" t="s">
        <v>29</v>
      </c>
      <c r="F516" s="455" t="s">
        <v>26</v>
      </c>
      <c r="G516" s="455"/>
      <c r="H516" s="387">
        <f>H517</f>
        <v>170</v>
      </c>
    </row>
    <row r="517" spans="2:8" s="65" customFormat="1" ht="20.100000000000001" customHeight="1" x14ac:dyDescent="0.25">
      <c r="B517" s="463"/>
      <c r="C517" s="487"/>
      <c r="D517" s="61" t="s">
        <v>583</v>
      </c>
      <c r="E517" s="67" t="s">
        <v>29</v>
      </c>
      <c r="F517" s="446">
        <v>170</v>
      </c>
      <c r="G517" s="446"/>
      <c r="H517" s="385">
        <f>F517</f>
        <v>170</v>
      </c>
    </row>
    <row r="518" spans="2:8" s="65" customFormat="1" ht="20.100000000000001" customHeight="1" x14ac:dyDescent="0.25">
      <c r="B518" s="386" t="s">
        <v>623</v>
      </c>
      <c r="C518" s="163">
        <v>71196</v>
      </c>
      <c r="D518" s="143" t="s">
        <v>619</v>
      </c>
      <c r="E518" s="330" t="s">
        <v>29</v>
      </c>
      <c r="F518" s="455" t="s">
        <v>26</v>
      </c>
      <c r="G518" s="455"/>
      <c r="H518" s="387">
        <f>H519</f>
        <v>110</v>
      </c>
    </row>
    <row r="519" spans="2:8" s="65" customFormat="1" ht="20.100000000000001" customHeight="1" x14ac:dyDescent="0.25">
      <c r="B519" s="463"/>
      <c r="C519" s="487"/>
      <c r="D519" s="61" t="s">
        <v>583</v>
      </c>
      <c r="E519" s="67" t="s">
        <v>29</v>
      </c>
      <c r="F519" s="446">
        <v>110</v>
      </c>
      <c r="G519" s="446"/>
      <c r="H519" s="385">
        <f>F519</f>
        <v>110</v>
      </c>
    </row>
    <row r="520" spans="2:8" s="65" customFormat="1" ht="20.100000000000001" customHeight="1" x14ac:dyDescent="0.25">
      <c r="B520" s="386" t="s">
        <v>624</v>
      </c>
      <c r="C520" s="163">
        <v>71197</v>
      </c>
      <c r="D520" s="143" t="s">
        <v>620</v>
      </c>
      <c r="E520" s="330" t="s">
        <v>29</v>
      </c>
      <c r="F520" s="455" t="s">
        <v>26</v>
      </c>
      <c r="G520" s="455"/>
      <c r="H520" s="387">
        <f>H521</f>
        <v>40</v>
      </c>
    </row>
    <row r="521" spans="2:8" s="65" customFormat="1" ht="20.100000000000001" customHeight="1" x14ac:dyDescent="0.25">
      <c r="B521" s="463"/>
      <c r="C521" s="487"/>
      <c r="D521" s="61" t="s">
        <v>583</v>
      </c>
      <c r="E521" s="67" t="s">
        <v>29</v>
      </c>
      <c r="F521" s="446">
        <f>20+20</f>
        <v>40</v>
      </c>
      <c r="G521" s="446"/>
      <c r="H521" s="385">
        <f>F521</f>
        <v>40</v>
      </c>
    </row>
    <row r="522" spans="2:8" s="65" customFormat="1" ht="20.100000000000001" customHeight="1" x14ac:dyDescent="0.25">
      <c r="B522" s="386" t="s">
        <v>644</v>
      </c>
      <c r="C522" s="163">
        <v>72170</v>
      </c>
      <c r="D522" s="143" t="s">
        <v>625</v>
      </c>
      <c r="E522" s="330" t="s">
        <v>340</v>
      </c>
      <c r="F522" s="455" t="s">
        <v>355</v>
      </c>
      <c r="G522" s="455"/>
      <c r="H522" s="387">
        <f>H523</f>
        <v>5</v>
      </c>
    </row>
    <row r="523" spans="2:8" s="65" customFormat="1" ht="20.100000000000001" customHeight="1" x14ac:dyDescent="0.25">
      <c r="B523" s="463"/>
      <c r="C523" s="487"/>
      <c r="D523" s="61" t="s">
        <v>583</v>
      </c>
      <c r="E523" s="67" t="s">
        <v>340</v>
      </c>
      <c r="F523" s="446">
        <v>5</v>
      </c>
      <c r="G523" s="446"/>
      <c r="H523" s="385">
        <f>F523</f>
        <v>5</v>
      </c>
    </row>
    <row r="524" spans="2:8" s="65" customFormat="1" ht="20.100000000000001" customHeight="1" x14ac:dyDescent="0.25">
      <c r="B524" s="386" t="s">
        <v>645</v>
      </c>
      <c r="C524" s="163" t="s">
        <v>1267</v>
      </c>
      <c r="D524" s="143" t="s">
        <v>1268</v>
      </c>
      <c r="E524" s="330" t="s">
        <v>340</v>
      </c>
      <c r="F524" s="455" t="s">
        <v>355</v>
      </c>
      <c r="G524" s="455"/>
      <c r="H524" s="387">
        <f>H525</f>
        <v>1</v>
      </c>
    </row>
    <row r="525" spans="2:8" s="65" customFormat="1" ht="20.100000000000001" customHeight="1" x14ac:dyDescent="0.25">
      <c r="B525" s="463"/>
      <c r="C525" s="487"/>
      <c r="D525" s="61" t="s">
        <v>583</v>
      </c>
      <c r="E525" s="67" t="s">
        <v>340</v>
      </c>
      <c r="F525" s="446">
        <v>1</v>
      </c>
      <c r="G525" s="446"/>
      <c r="H525" s="385">
        <f>F525</f>
        <v>1</v>
      </c>
    </row>
    <row r="526" spans="2:8" s="65" customFormat="1" ht="20.100000000000001" customHeight="1" x14ac:dyDescent="0.25">
      <c r="B526" s="386" t="s">
        <v>646</v>
      </c>
      <c r="C526" s="163">
        <v>72430</v>
      </c>
      <c r="D526" s="143" t="s">
        <v>626</v>
      </c>
      <c r="E526" s="330" t="s">
        <v>340</v>
      </c>
      <c r="F526" s="455" t="s">
        <v>355</v>
      </c>
      <c r="G526" s="455"/>
      <c r="H526" s="387">
        <f>H527</f>
        <v>17</v>
      </c>
    </row>
    <row r="527" spans="2:8" s="65" customFormat="1" ht="20.100000000000001" customHeight="1" x14ac:dyDescent="0.25">
      <c r="B527" s="463"/>
      <c r="C527" s="487"/>
      <c r="D527" s="61" t="s">
        <v>583</v>
      </c>
      <c r="E527" s="67" t="s">
        <v>340</v>
      </c>
      <c r="F527" s="446">
        <v>17</v>
      </c>
      <c r="G527" s="446"/>
      <c r="H527" s="385">
        <f>F527</f>
        <v>17</v>
      </c>
    </row>
    <row r="528" spans="2:8" s="65" customFormat="1" ht="20.100000000000001" customHeight="1" x14ac:dyDescent="0.25">
      <c r="B528" s="386" t="s">
        <v>647</v>
      </c>
      <c r="C528" s="163">
        <v>72435</v>
      </c>
      <c r="D528" s="143" t="s">
        <v>627</v>
      </c>
      <c r="E528" s="330" t="s">
        <v>340</v>
      </c>
      <c r="F528" s="455" t="s">
        <v>355</v>
      </c>
      <c r="G528" s="455"/>
      <c r="H528" s="387">
        <f>H529</f>
        <v>7</v>
      </c>
    </row>
    <row r="529" spans="1:8" s="65" customFormat="1" ht="20.100000000000001" customHeight="1" x14ac:dyDescent="0.25">
      <c r="B529" s="463"/>
      <c r="C529" s="487"/>
      <c r="D529" s="61" t="s">
        <v>583</v>
      </c>
      <c r="E529" s="67" t="s">
        <v>340</v>
      </c>
      <c r="F529" s="446">
        <v>7</v>
      </c>
      <c r="G529" s="446">
        <v>7</v>
      </c>
      <c r="H529" s="385">
        <f>F529</f>
        <v>7</v>
      </c>
    </row>
    <row r="530" spans="1:8" s="65" customFormat="1" ht="20.100000000000001" customHeight="1" x14ac:dyDescent="0.25">
      <c r="B530" s="386" t="s">
        <v>648</v>
      </c>
      <c r="C530" s="163">
        <v>72441</v>
      </c>
      <c r="D530" s="143" t="s">
        <v>628</v>
      </c>
      <c r="E530" s="330" t="s">
        <v>340</v>
      </c>
      <c r="F530" s="455" t="s">
        <v>355</v>
      </c>
      <c r="G530" s="455"/>
      <c r="H530" s="387">
        <f>H531</f>
        <v>74</v>
      </c>
    </row>
    <row r="531" spans="1:8" s="65" customFormat="1" ht="20.100000000000001" customHeight="1" x14ac:dyDescent="0.25">
      <c r="B531" s="463"/>
      <c r="C531" s="487"/>
      <c r="D531" s="61" t="s">
        <v>583</v>
      </c>
      <c r="E531" s="67" t="s">
        <v>340</v>
      </c>
      <c r="F531" s="446">
        <v>74</v>
      </c>
      <c r="G531" s="446">
        <v>74</v>
      </c>
      <c r="H531" s="385">
        <f>F531</f>
        <v>74</v>
      </c>
    </row>
    <row r="532" spans="1:8" s="65" customFormat="1" ht="20.100000000000001" customHeight="1" x14ac:dyDescent="0.25">
      <c r="B532" s="386" t="s">
        <v>649</v>
      </c>
      <c r="C532" s="163">
        <v>72442</v>
      </c>
      <c r="D532" s="143" t="s">
        <v>629</v>
      </c>
      <c r="E532" s="330" t="s">
        <v>340</v>
      </c>
      <c r="F532" s="455" t="s">
        <v>355</v>
      </c>
      <c r="G532" s="455"/>
      <c r="H532" s="387">
        <f>H533</f>
        <v>7</v>
      </c>
    </row>
    <row r="533" spans="1:8" s="65" customFormat="1" ht="20.100000000000001" customHeight="1" x14ac:dyDescent="0.25">
      <c r="B533" s="463"/>
      <c r="C533" s="487"/>
      <c r="D533" s="61" t="s">
        <v>583</v>
      </c>
      <c r="E533" s="67" t="s">
        <v>340</v>
      </c>
      <c r="F533" s="446">
        <v>7</v>
      </c>
      <c r="G533" s="446"/>
      <c r="H533" s="403">
        <f>F533</f>
        <v>7</v>
      </c>
    </row>
    <row r="534" spans="1:8" s="65" customFormat="1" ht="20.100000000000001" customHeight="1" x14ac:dyDescent="0.25">
      <c r="B534" s="386" t="s">
        <v>650</v>
      </c>
      <c r="C534" s="163">
        <v>72385</v>
      </c>
      <c r="D534" s="143" t="s">
        <v>630</v>
      </c>
      <c r="E534" s="330" t="s">
        <v>340</v>
      </c>
      <c r="F534" s="455" t="s">
        <v>355</v>
      </c>
      <c r="G534" s="455"/>
      <c r="H534" s="387">
        <f>H535</f>
        <v>2</v>
      </c>
    </row>
    <row r="535" spans="1:8" s="65" customFormat="1" ht="20.100000000000001" customHeight="1" x14ac:dyDescent="0.25">
      <c r="B535" s="535"/>
      <c r="C535" s="536"/>
      <c r="D535" s="61" t="s">
        <v>583</v>
      </c>
      <c r="E535" s="67" t="s">
        <v>340</v>
      </c>
      <c r="F535" s="446">
        <v>2</v>
      </c>
      <c r="G535" s="446"/>
      <c r="H535" s="403">
        <f>F535</f>
        <v>2</v>
      </c>
    </row>
    <row r="536" spans="1:8" s="65" customFormat="1" ht="20.100000000000001" customHeight="1" x14ac:dyDescent="0.25">
      <c r="B536" s="386" t="s">
        <v>651</v>
      </c>
      <c r="C536" s="163">
        <v>71598</v>
      </c>
      <c r="D536" s="143" t="s">
        <v>631</v>
      </c>
      <c r="E536" s="330" t="s">
        <v>340</v>
      </c>
      <c r="F536" s="455" t="s">
        <v>355</v>
      </c>
      <c r="G536" s="455"/>
      <c r="H536" s="387">
        <f>H537</f>
        <v>25</v>
      </c>
    </row>
    <row r="537" spans="1:8" s="65" customFormat="1" ht="20.100000000000001" customHeight="1" x14ac:dyDescent="0.25">
      <c r="B537" s="535"/>
      <c r="C537" s="536"/>
      <c r="D537" s="61" t="s">
        <v>583</v>
      </c>
      <c r="E537" s="67" t="s">
        <v>340</v>
      </c>
      <c r="F537" s="446">
        <v>25</v>
      </c>
      <c r="G537" s="446"/>
      <c r="H537" s="403">
        <f>F537</f>
        <v>25</v>
      </c>
    </row>
    <row r="538" spans="1:8" s="65" customFormat="1" ht="20.100000000000001" customHeight="1" x14ac:dyDescent="0.25">
      <c r="B538" s="386" t="s">
        <v>652</v>
      </c>
      <c r="C538" s="163">
        <v>71321</v>
      </c>
      <c r="D538" s="143" t="s">
        <v>632</v>
      </c>
      <c r="E538" s="330" t="s">
        <v>29</v>
      </c>
      <c r="F538" s="455" t="s">
        <v>355</v>
      </c>
      <c r="G538" s="455"/>
      <c r="H538" s="387">
        <f>H539</f>
        <v>150</v>
      </c>
    </row>
    <row r="539" spans="1:8" s="65" customFormat="1" ht="20.100000000000001" customHeight="1" x14ac:dyDescent="0.25">
      <c r="B539" s="535"/>
      <c r="C539" s="536"/>
      <c r="D539" s="61" t="s">
        <v>583</v>
      </c>
      <c r="E539" s="67" t="s">
        <v>29</v>
      </c>
      <c r="F539" s="446">
        <v>150</v>
      </c>
      <c r="G539" s="446"/>
      <c r="H539" s="403">
        <f>F539</f>
        <v>150</v>
      </c>
    </row>
    <row r="540" spans="1:8" s="65" customFormat="1" ht="20.100000000000001" customHeight="1" x14ac:dyDescent="0.25">
      <c r="B540" s="386" t="s">
        <v>653</v>
      </c>
      <c r="C540" s="163">
        <v>70681</v>
      </c>
      <c r="D540" s="143" t="s">
        <v>633</v>
      </c>
      <c r="E540" s="330" t="s">
        <v>340</v>
      </c>
      <c r="F540" s="455" t="s">
        <v>355</v>
      </c>
      <c r="G540" s="455"/>
      <c r="H540" s="387">
        <f>H541</f>
        <v>52</v>
      </c>
    </row>
    <row r="541" spans="1:8" s="65" customFormat="1" ht="20.100000000000001" customHeight="1" x14ac:dyDescent="0.25">
      <c r="B541" s="535"/>
      <c r="C541" s="536"/>
      <c r="D541" s="61" t="s">
        <v>583</v>
      </c>
      <c r="E541" s="67" t="s">
        <v>340</v>
      </c>
      <c r="F541" s="446">
        <v>52</v>
      </c>
      <c r="G541" s="446"/>
      <c r="H541" s="385">
        <f>F541</f>
        <v>52</v>
      </c>
    </row>
    <row r="542" spans="1:8" s="137" customFormat="1" ht="20.100000000000001" customHeight="1" x14ac:dyDescent="0.25">
      <c r="A542" s="65"/>
      <c r="B542" s="386" t="s">
        <v>654</v>
      </c>
      <c r="C542" s="162">
        <v>70924</v>
      </c>
      <c r="D542" s="143" t="s">
        <v>634</v>
      </c>
      <c r="E542" s="330" t="s">
        <v>340</v>
      </c>
      <c r="F542" s="455" t="s">
        <v>355</v>
      </c>
      <c r="G542" s="455"/>
      <c r="H542" s="387">
        <f>H543</f>
        <v>110</v>
      </c>
    </row>
    <row r="543" spans="1:8" s="65" customFormat="1" ht="20.100000000000001" customHeight="1" x14ac:dyDescent="0.25">
      <c r="B543" s="535"/>
      <c r="C543" s="536"/>
      <c r="D543" s="61" t="s">
        <v>583</v>
      </c>
      <c r="E543" s="67" t="s">
        <v>340</v>
      </c>
      <c r="F543" s="446">
        <v>110</v>
      </c>
      <c r="G543" s="446">
        <v>110</v>
      </c>
      <c r="H543" s="385">
        <f>F543</f>
        <v>110</v>
      </c>
    </row>
    <row r="544" spans="1:8" s="137" customFormat="1" ht="20.100000000000001" customHeight="1" x14ac:dyDescent="0.25">
      <c r="A544" s="65"/>
      <c r="B544" s="386" t="s">
        <v>655</v>
      </c>
      <c r="C544" s="162">
        <v>71043</v>
      </c>
      <c r="D544" s="143" t="s">
        <v>635</v>
      </c>
      <c r="E544" s="330" t="s">
        <v>340</v>
      </c>
      <c r="F544" s="455" t="s">
        <v>355</v>
      </c>
      <c r="G544" s="455"/>
      <c r="H544" s="387">
        <f>H545</f>
        <v>13</v>
      </c>
    </row>
    <row r="545" spans="1:8" s="65" customFormat="1" ht="20.100000000000001" customHeight="1" x14ac:dyDescent="0.25">
      <c r="A545" s="137"/>
      <c r="B545" s="535"/>
      <c r="C545" s="536"/>
      <c r="D545" s="61" t="s">
        <v>583</v>
      </c>
      <c r="E545" s="67" t="s">
        <v>340</v>
      </c>
      <c r="F545" s="446">
        <v>13</v>
      </c>
      <c r="G545" s="446">
        <v>13</v>
      </c>
      <c r="H545" s="385">
        <f>F545</f>
        <v>13</v>
      </c>
    </row>
    <row r="546" spans="1:8" s="137" customFormat="1" ht="20.100000000000001" customHeight="1" x14ac:dyDescent="0.25">
      <c r="A546" s="65"/>
      <c r="B546" s="386" t="s">
        <v>656</v>
      </c>
      <c r="C546" s="163">
        <v>71440</v>
      </c>
      <c r="D546" s="143" t="s">
        <v>637</v>
      </c>
      <c r="E546" s="330" t="s">
        <v>340</v>
      </c>
      <c r="F546" s="455" t="s">
        <v>355</v>
      </c>
      <c r="G546" s="455"/>
      <c r="H546" s="387">
        <f>H547</f>
        <v>7</v>
      </c>
    </row>
    <row r="547" spans="1:8" s="65" customFormat="1" ht="20.100000000000001" customHeight="1" x14ac:dyDescent="0.25">
      <c r="A547" s="137"/>
      <c r="B547" s="535"/>
      <c r="C547" s="536"/>
      <c r="D547" s="61" t="s">
        <v>583</v>
      </c>
      <c r="E547" s="67" t="s">
        <v>340</v>
      </c>
      <c r="F547" s="446">
        <v>7</v>
      </c>
      <c r="G547" s="446"/>
      <c r="H547" s="385">
        <f>F547</f>
        <v>7</v>
      </c>
    </row>
    <row r="548" spans="1:8" s="137" customFormat="1" ht="20.100000000000001" customHeight="1" x14ac:dyDescent="0.25">
      <c r="A548" s="65"/>
      <c r="B548" s="386" t="s">
        <v>657</v>
      </c>
      <c r="C548" s="163" t="s">
        <v>638</v>
      </c>
      <c r="D548" s="143" t="s">
        <v>639</v>
      </c>
      <c r="E548" s="330" t="s">
        <v>340</v>
      </c>
      <c r="F548" s="455" t="s">
        <v>355</v>
      </c>
      <c r="G548" s="455"/>
      <c r="H548" s="387">
        <f>H549</f>
        <v>5</v>
      </c>
    </row>
    <row r="549" spans="1:8" s="65" customFormat="1" ht="20.100000000000001" customHeight="1" x14ac:dyDescent="0.25">
      <c r="A549" s="137"/>
      <c r="B549" s="535"/>
      <c r="C549" s="536"/>
      <c r="D549" s="61" t="s">
        <v>583</v>
      </c>
      <c r="E549" s="67" t="s">
        <v>340</v>
      </c>
      <c r="F549" s="446">
        <v>5</v>
      </c>
      <c r="G549" s="446"/>
      <c r="H549" s="385">
        <f>F549</f>
        <v>5</v>
      </c>
    </row>
    <row r="550" spans="1:8" s="65" customFormat="1" ht="20.100000000000001" customHeight="1" x14ac:dyDescent="0.25">
      <c r="B550" s="386" t="s">
        <v>658</v>
      </c>
      <c r="C550" s="163">
        <v>71431</v>
      </c>
      <c r="D550" s="143" t="s">
        <v>636</v>
      </c>
      <c r="E550" s="330" t="s">
        <v>340</v>
      </c>
      <c r="F550" s="455" t="s">
        <v>355</v>
      </c>
      <c r="G550" s="455"/>
      <c r="H550" s="387">
        <f>H551</f>
        <v>12</v>
      </c>
    </row>
    <row r="551" spans="1:8" s="65" customFormat="1" ht="20.100000000000001" customHeight="1" x14ac:dyDescent="0.25">
      <c r="A551" s="137"/>
      <c r="B551" s="535"/>
      <c r="C551" s="536"/>
      <c r="D551" s="61" t="s">
        <v>583</v>
      </c>
      <c r="E551" s="67" t="s">
        <v>340</v>
      </c>
      <c r="F551" s="446">
        <v>12</v>
      </c>
      <c r="G551" s="446"/>
      <c r="H551" s="385">
        <f>F551</f>
        <v>12</v>
      </c>
    </row>
    <row r="552" spans="1:8" s="65" customFormat="1" ht="20.100000000000001" customHeight="1" x14ac:dyDescent="0.25">
      <c r="B552" s="386" t="s">
        <v>659</v>
      </c>
      <c r="C552" s="163" t="s">
        <v>640</v>
      </c>
      <c r="D552" s="143" t="s">
        <v>641</v>
      </c>
      <c r="E552" s="330" t="s">
        <v>340</v>
      </c>
      <c r="F552" s="455" t="s">
        <v>355</v>
      </c>
      <c r="G552" s="455"/>
      <c r="H552" s="387">
        <f>H553</f>
        <v>7</v>
      </c>
    </row>
    <row r="553" spans="1:8" s="65" customFormat="1" ht="20.100000000000001" customHeight="1" x14ac:dyDescent="0.25">
      <c r="B553" s="535"/>
      <c r="C553" s="536"/>
      <c r="D553" s="61" t="s">
        <v>583</v>
      </c>
      <c r="E553" s="67" t="s">
        <v>340</v>
      </c>
      <c r="F553" s="446">
        <v>7</v>
      </c>
      <c r="G553" s="446"/>
      <c r="H553" s="385">
        <f>F553</f>
        <v>7</v>
      </c>
    </row>
    <row r="554" spans="1:8" s="65" customFormat="1" ht="20.100000000000001" customHeight="1" x14ac:dyDescent="0.25">
      <c r="B554" s="386" t="s">
        <v>660</v>
      </c>
      <c r="C554" s="163">
        <v>72570</v>
      </c>
      <c r="D554" s="143" t="s">
        <v>642</v>
      </c>
      <c r="E554" s="330" t="s">
        <v>340</v>
      </c>
      <c r="F554" s="455" t="s">
        <v>355</v>
      </c>
      <c r="G554" s="455"/>
      <c r="H554" s="387">
        <f>H555</f>
        <v>74</v>
      </c>
    </row>
    <row r="555" spans="1:8" s="65" customFormat="1" ht="20.100000000000001" customHeight="1" x14ac:dyDescent="0.25">
      <c r="B555" s="463"/>
      <c r="C555" s="487"/>
      <c r="D555" s="61" t="s">
        <v>583</v>
      </c>
      <c r="E555" s="67" t="s">
        <v>340</v>
      </c>
      <c r="F555" s="446">
        <v>74</v>
      </c>
      <c r="G555" s="446"/>
      <c r="H555" s="385">
        <f>F555</f>
        <v>74</v>
      </c>
    </row>
    <row r="556" spans="1:8" s="65" customFormat="1" ht="20.100000000000001" customHeight="1" x14ac:dyDescent="0.25">
      <c r="B556" s="386" t="s">
        <v>661</v>
      </c>
      <c r="C556" s="163">
        <v>72575</v>
      </c>
      <c r="D556" s="143" t="s">
        <v>643</v>
      </c>
      <c r="E556" s="330" t="s">
        <v>340</v>
      </c>
      <c r="F556" s="455" t="s">
        <v>355</v>
      </c>
      <c r="G556" s="455"/>
      <c r="H556" s="387">
        <f>H557</f>
        <v>6</v>
      </c>
    </row>
    <row r="557" spans="1:8" s="65" customFormat="1" ht="20.100000000000001" customHeight="1" x14ac:dyDescent="0.25">
      <c r="B557" s="463"/>
      <c r="C557" s="487"/>
      <c r="D557" s="61" t="s">
        <v>583</v>
      </c>
      <c r="E557" s="67" t="s">
        <v>340</v>
      </c>
      <c r="F557" s="446">
        <v>6</v>
      </c>
      <c r="G557" s="446"/>
      <c r="H557" s="385">
        <f>F557</f>
        <v>6</v>
      </c>
    </row>
    <row r="558" spans="1:8" s="65" customFormat="1" ht="20.100000000000001" customHeight="1" x14ac:dyDescent="0.25">
      <c r="B558" s="386" t="s">
        <v>718</v>
      </c>
      <c r="C558" s="163">
        <v>70710</v>
      </c>
      <c r="D558" s="143" t="s">
        <v>713</v>
      </c>
      <c r="E558" s="330" t="s">
        <v>340</v>
      </c>
      <c r="F558" s="455" t="s">
        <v>355</v>
      </c>
      <c r="G558" s="455"/>
      <c r="H558" s="387">
        <f>H559</f>
        <v>3</v>
      </c>
    </row>
    <row r="559" spans="1:8" s="65" customFormat="1" ht="20.100000000000001" customHeight="1" x14ac:dyDescent="0.25">
      <c r="B559" s="463"/>
      <c r="C559" s="487"/>
      <c r="D559" s="61" t="s">
        <v>583</v>
      </c>
      <c r="E559" s="67" t="s">
        <v>340</v>
      </c>
      <c r="F559" s="446">
        <v>3</v>
      </c>
      <c r="G559" s="446"/>
      <c r="H559" s="385">
        <f>F559</f>
        <v>3</v>
      </c>
    </row>
    <row r="560" spans="1:8" s="65" customFormat="1" ht="20.100000000000001" customHeight="1" x14ac:dyDescent="0.25">
      <c r="B560" s="386" t="s">
        <v>719</v>
      </c>
      <c r="C560" s="163">
        <v>70542</v>
      </c>
      <c r="D560" s="143" t="s">
        <v>714</v>
      </c>
      <c r="E560" s="330" t="s">
        <v>29</v>
      </c>
      <c r="F560" s="455" t="s">
        <v>26</v>
      </c>
      <c r="G560" s="455"/>
      <c r="H560" s="387">
        <f>H561</f>
        <v>8</v>
      </c>
    </row>
    <row r="561" spans="2:8" s="65" customFormat="1" ht="20.100000000000001" customHeight="1" x14ac:dyDescent="0.25">
      <c r="B561" s="463"/>
      <c r="C561" s="487"/>
      <c r="D561" s="61" t="s">
        <v>583</v>
      </c>
      <c r="E561" s="67" t="s">
        <v>29</v>
      </c>
      <c r="F561" s="446">
        <v>8</v>
      </c>
      <c r="G561" s="446"/>
      <c r="H561" s="385">
        <f>F561</f>
        <v>8</v>
      </c>
    </row>
    <row r="562" spans="2:8" s="65" customFormat="1" ht="20.100000000000001" customHeight="1" x14ac:dyDescent="0.25">
      <c r="B562" s="386" t="s">
        <v>720</v>
      </c>
      <c r="C562" s="163">
        <v>71380</v>
      </c>
      <c r="D562" s="143" t="s">
        <v>715</v>
      </c>
      <c r="E562" s="330" t="s">
        <v>340</v>
      </c>
      <c r="F562" s="455" t="s">
        <v>355</v>
      </c>
      <c r="G562" s="455"/>
      <c r="H562" s="387">
        <f>H563</f>
        <v>3</v>
      </c>
    </row>
    <row r="563" spans="2:8" s="65" customFormat="1" ht="20.100000000000001" customHeight="1" x14ac:dyDescent="0.25">
      <c r="B563" s="463"/>
      <c r="C563" s="487"/>
      <c r="D563" s="61" t="s">
        <v>583</v>
      </c>
      <c r="E563" s="67" t="s">
        <v>340</v>
      </c>
      <c r="F563" s="446">
        <v>3</v>
      </c>
      <c r="G563" s="446"/>
      <c r="H563" s="385">
        <f>F563</f>
        <v>3</v>
      </c>
    </row>
    <row r="564" spans="2:8" s="65" customFormat="1" ht="20.100000000000001" customHeight="1" x14ac:dyDescent="0.25">
      <c r="B564" s="386" t="s">
        <v>721</v>
      </c>
      <c r="C564" s="163" t="s">
        <v>717</v>
      </c>
      <c r="D564" s="143" t="s">
        <v>716</v>
      </c>
      <c r="E564" s="330" t="s">
        <v>340</v>
      </c>
      <c r="F564" s="455" t="s">
        <v>355</v>
      </c>
      <c r="G564" s="455"/>
      <c r="H564" s="387">
        <f>H565</f>
        <v>4</v>
      </c>
    </row>
    <row r="565" spans="2:8" s="65" customFormat="1" ht="20.100000000000001" customHeight="1" x14ac:dyDescent="0.25">
      <c r="B565" s="463"/>
      <c r="C565" s="487"/>
      <c r="D565" s="61" t="s">
        <v>583</v>
      </c>
      <c r="E565" s="67" t="s">
        <v>340</v>
      </c>
      <c r="F565" s="446">
        <v>4</v>
      </c>
      <c r="G565" s="446"/>
      <c r="H565" s="385">
        <f>F565</f>
        <v>4</v>
      </c>
    </row>
    <row r="566" spans="2:8" s="65" customFormat="1" ht="20.100000000000001" customHeight="1" x14ac:dyDescent="0.25">
      <c r="B566" s="457" t="s">
        <v>349</v>
      </c>
      <c r="C566" s="458"/>
      <c r="D566" s="459"/>
      <c r="E566" s="459"/>
      <c r="F566" s="459"/>
      <c r="G566" s="459"/>
      <c r="H566" s="460"/>
    </row>
    <row r="567" spans="2:8" s="65" customFormat="1" ht="20.100000000000001" customHeight="1" x14ac:dyDescent="0.25">
      <c r="B567" s="377">
        <v>7</v>
      </c>
      <c r="C567" s="233">
        <v>80000</v>
      </c>
      <c r="D567" s="501" t="s">
        <v>350</v>
      </c>
      <c r="E567" s="502"/>
      <c r="F567" s="502"/>
      <c r="G567" s="503"/>
      <c r="H567" s="395" t="s">
        <v>6</v>
      </c>
    </row>
    <row r="568" spans="2:8" s="65" customFormat="1" ht="20.100000000000001" customHeight="1" x14ac:dyDescent="0.25">
      <c r="B568" s="386" t="s">
        <v>22</v>
      </c>
      <c r="C568" s="163">
        <v>80810</v>
      </c>
      <c r="D568" s="144" t="s">
        <v>351</v>
      </c>
      <c r="E568" s="162" t="s">
        <v>309</v>
      </c>
      <c r="F568" s="455" t="s">
        <v>355</v>
      </c>
      <c r="G568" s="455"/>
      <c r="H568" s="387">
        <f>SUM(H569:H570)</f>
        <v>3</v>
      </c>
    </row>
    <row r="569" spans="2:8" s="65" customFormat="1" ht="20.100000000000001" customHeight="1" x14ac:dyDescent="0.25">
      <c r="B569" s="447"/>
      <c r="C569" s="448"/>
      <c r="D569" s="83" t="s">
        <v>353</v>
      </c>
      <c r="E569" s="67" t="s">
        <v>356</v>
      </c>
      <c r="F569" s="446">
        <v>2</v>
      </c>
      <c r="G569" s="446"/>
      <c r="H569" s="402">
        <f>F569</f>
        <v>2</v>
      </c>
    </row>
    <row r="570" spans="2:8" s="65" customFormat="1" ht="20.100000000000001" customHeight="1" x14ac:dyDescent="0.25">
      <c r="B570" s="447"/>
      <c r="C570" s="448"/>
      <c r="D570" s="83" t="s">
        <v>354</v>
      </c>
      <c r="E570" s="67" t="s">
        <v>352</v>
      </c>
      <c r="F570" s="446">
        <v>1</v>
      </c>
      <c r="G570" s="446"/>
      <c r="H570" s="402">
        <f>F570</f>
        <v>1</v>
      </c>
    </row>
    <row r="571" spans="2:8" s="65" customFormat="1" ht="20.100000000000001" customHeight="1" x14ac:dyDescent="0.25">
      <c r="B571" s="386" t="s">
        <v>33</v>
      </c>
      <c r="C571" s="163">
        <v>80811</v>
      </c>
      <c r="D571" s="144" t="s">
        <v>357</v>
      </c>
      <c r="E571" s="162" t="s">
        <v>309</v>
      </c>
      <c r="F571" s="455" t="s">
        <v>355</v>
      </c>
      <c r="G571" s="455"/>
      <c r="H571" s="387">
        <f>SUM(H572)</f>
        <v>3</v>
      </c>
    </row>
    <row r="572" spans="2:8" s="65" customFormat="1" ht="20.100000000000001" customHeight="1" x14ac:dyDescent="0.25">
      <c r="B572" s="447"/>
      <c r="C572" s="448"/>
      <c r="D572" s="83" t="s">
        <v>358</v>
      </c>
      <c r="E572" s="67" t="s">
        <v>356</v>
      </c>
      <c r="F572" s="446">
        <v>3</v>
      </c>
      <c r="G572" s="446"/>
      <c r="H572" s="402">
        <f>F572</f>
        <v>3</v>
      </c>
    </row>
    <row r="573" spans="2:8" s="65" customFormat="1" ht="20.100000000000001" customHeight="1" x14ac:dyDescent="0.25">
      <c r="B573" s="386" t="s">
        <v>64</v>
      </c>
      <c r="C573" s="163">
        <v>80721</v>
      </c>
      <c r="D573" s="144" t="s">
        <v>359</v>
      </c>
      <c r="E573" s="162" t="s">
        <v>309</v>
      </c>
      <c r="F573" s="455" t="s">
        <v>355</v>
      </c>
      <c r="G573" s="455"/>
      <c r="H573" s="387">
        <f>SUM(H574:H578)</f>
        <v>10</v>
      </c>
    </row>
    <row r="574" spans="2:8" s="65" customFormat="1" ht="20.100000000000001" customHeight="1" x14ac:dyDescent="0.25">
      <c r="B574" s="447"/>
      <c r="C574" s="448"/>
      <c r="D574" s="83" t="s">
        <v>193</v>
      </c>
      <c r="E574" s="67" t="s">
        <v>356</v>
      </c>
      <c r="F574" s="446">
        <v>2</v>
      </c>
      <c r="G574" s="446"/>
      <c r="H574" s="402">
        <f>F574</f>
        <v>2</v>
      </c>
    </row>
    <row r="575" spans="2:8" s="65" customFormat="1" ht="20.100000000000001" customHeight="1" x14ac:dyDescent="0.25">
      <c r="B575" s="447"/>
      <c r="C575" s="448"/>
      <c r="D575" s="83" t="s">
        <v>194</v>
      </c>
      <c r="E575" s="67" t="s">
        <v>356</v>
      </c>
      <c r="F575" s="446">
        <v>2</v>
      </c>
      <c r="G575" s="446"/>
      <c r="H575" s="402">
        <f t="shared" ref="H575:H578" si="27">F575</f>
        <v>2</v>
      </c>
    </row>
    <row r="576" spans="2:8" s="65" customFormat="1" ht="20.100000000000001" customHeight="1" x14ac:dyDescent="0.25">
      <c r="B576" s="447"/>
      <c r="C576" s="448"/>
      <c r="D576" s="83" t="s">
        <v>360</v>
      </c>
      <c r="E576" s="67" t="s">
        <v>356</v>
      </c>
      <c r="F576" s="446">
        <v>2</v>
      </c>
      <c r="G576" s="446"/>
      <c r="H576" s="402">
        <f t="shared" si="27"/>
        <v>2</v>
      </c>
    </row>
    <row r="577" spans="2:8" s="65" customFormat="1" ht="20.100000000000001" customHeight="1" x14ac:dyDescent="0.25">
      <c r="B577" s="447"/>
      <c r="C577" s="448"/>
      <c r="D577" s="83" t="s">
        <v>315</v>
      </c>
      <c r="E577" s="67" t="s">
        <v>356</v>
      </c>
      <c r="F577" s="446">
        <v>2</v>
      </c>
      <c r="G577" s="446"/>
      <c r="H577" s="402">
        <f t="shared" si="27"/>
        <v>2</v>
      </c>
    </row>
    <row r="578" spans="2:8" s="65" customFormat="1" ht="20.100000000000001" customHeight="1" x14ac:dyDescent="0.25">
      <c r="B578" s="447"/>
      <c r="C578" s="448"/>
      <c r="D578" s="83" t="s">
        <v>316</v>
      </c>
      <c r="E578" s="67" t="s">
        <v>356</v>
      </c>
      <c r="F578" s="446">
        <v>2</v>
      </c>
      <c r="G578" s="446"/>
      <c r="H578" s="402">
        <f t="shared" si="27"/>
        <v>2</v>
      </c>
    </row>
    <row r="579" spans="2:8" s="65" customFormat="1" ht="20.100000000000001" customHeight="1" x14ac:dyDescent="0.25">
      <c r="B579" s="386" t="s">
        <v>65</v>
      </c>
      <c r="C579" s="163">
        <v>80590</v>
      </c>
      <c r="D579" s="144" t="s">
        <v>361</v>
      </c>
      <c r="E579" s="162" t="s">
        <v>309</v>
      </c>
      <c r="F579" s="455" t="s">
        <v>355</v>
      </c>
      <c r="G579" s="455"/>
      <c r="H579" s="387">
        <f>SUM(H580:H581)</f>
        <v>6</v>
      </c>
    </row>
    <row r="580" spans="2:8" s="65" customFormat="1" ht="20.100000000000001" customHeight="1" x14ac:dyDescent="0.25">
      <c r="B580" s="447"/>
      <c r="C580" s="448"/>
      <c r="D580" s="83" t="s">
        <v>315</v>
      </c>
      <c r="E580" s="67" t="s">
        <v>356</v>
      </c>
      <c r="F580" s="446">
        <v>3</v>
      </c>
      <c r="G580" s="446"/>
      <c r="H580" s="402">
        <f>F580</f>
        <v>3</v>
      </c>
    </row>
    <row r="581" spans="2:8" s="65" customFormat="1" ht="20.100000000000001" customHeight="1" x14ac:dyDescent="0.25">
      <c r="B581" s="447"/>
      <c r="C581" s="448"/>
      <c r="D581" s="83" t="s">
        <v>316</v>
      </c>
      <c r="E581" s="67" t="s">
        <v>356</v>
      </c>
      <c r="F581" s="446">
        <v>3</v>
      </c>
      <c r="G581" s="446"/>
      <c r="H581" s="402">
        <f>F581</f>
        <v>3</v>
      </c>
    </row>
    <row r="582" spans="2:8" s="65" customFormat="1" ht="20.100000000000001" customHeight="1" x14ac:dyDescent="0.25">
      <c r="B582" s="386" t="s">
        <v>66</v>
      </c>
      <c r="C582" s="163">
        <v>80572</v>
      </c>
      <c r="D582" s="144" t="s">
        <v>362</v>
      </c>
      <c r="E582" s="162" t="s">
        <v>309</v>
      </c>
      <c r="F582" s="455" t="s">
        <v>355</v>
      </c>
      <c r="G582" s="455"/>
      <c r="H582" s="387">
        <f>SUM(H583:H591)</f>
        <v>19</v>
      </c>
    </row>
    <row r="583" spans="2:8" s="65" customFormat="1" ht="20.100000000000001" customHeight="1" x14ac:dyDescent="0.25">
      <c r="B583" s="447"/>
      <c r="C583" s="448"/>
      <c r="D583" s="83" t="s">
        <v>193</v>
      </c>
      <c r="E583" s="67" t="s">
        <v>356</v>
      </c>
      <c r="F583" s="446">
        <v>3</v>
      </c>
      <c r="G583" s="446"/>
      <c r="H583" s="402">
        <f t="shared" ref="H583:H586" si="28">F583</f>
        <v>3</v>
      </c>
    </row>
    <row r="584" spans="2:8" s="65" customFormat="1" ht="20.100000000000001" customHeight="1" x14ac:dyDescent="0.25">
      <c r="B584" s="447"/>
      <c r="C584" s="448"/>
      <c r="D584" s="83" t="s">
        <v>194</v>
      </c>
      <c r="E584" s="67" t="s">
        <v>356</v>
      </c>
      <c r="F584" s="446">
        <v>3</v>
      </c>
      <c r="G584" s="446"/>
      <c r="H584" s="402">
        <f t="shared" si="28"/>
        <v>3</v>
      </c>
    </row>
    <row r="585" spans="2:8" s="65" customFormat="1" ht="20.100000000000001" customHeight="1" x14ac:dyDescent="0.25">
      <c r="B585" s="447"/>
      <c r="C585" s="448"/>
      <c r="D585" s="83" t="s">
        <v>360</v>
      </c>
      <c r="E585" s="67" t="s">
        <v>356</v>
      </c>
      <c r="F585" s="446">
        <v>3</v>
      </c>
      <c r="G585" s="446"/>
      <c r="H585" s="402">
        <f t="shared" si="28"/>
        <v>3</v>
      </c>
    </row>
    <row r="586" spans="2:8" s="65" customFormat="1" ht="20.100000000000001" customHeight="1" x14ac:dyDescent="0.25">
      <c r="B586" s="447"/>
      <c r="C586" s="448"/>
      <c r="D586" s="83" t="s">
        <v>315</v>
      </c>
      <c r="E586" s="67" t="s">
        <v>356</v>
      </c>
      <c r="F586" s="446">
        <v>3</v>
      </c>
      <c r="G586" s="446"/>
      <c r="H586" s="402">
        <f t="shared" si="28"/>
        <v>3</v>
      </c>
    </row>
    <row r="587" spans="2:8" s="65" customFormat="1" ht="20.100000000000001" customHeight="1" x14ac:dyDescent="0.25">
      <c r="B587" s="447"/>
      <c r="C587" s="448"/>
      <c r="D587" s="83" t="s">
        <v>316</v>
      </c>
      <c r="E587" s="67" t="s">
        <v>356</v>
      </c>
      <c r="F587" s="446">
        <v>3</v>
      </c>
      <c r="G587" s="446"/>
      <c r="H587" s="402">
        <f>F587</f>
        <v>3</v>
      </c>
    </row>
    <row r="588" spans="2:8" s="65" customFormat="1" ht="20.100000000000001" customHeight="1" x14ac:dyDescent="0.25">
      <c r="B588" s="447"/>
      <c r="C588" s="448"/>
      <c r="D588" s="83" t="s">
        <v>450</v>
      </c>
      <c r="E588" s="67" t="s">
        <v>356</v>
      </c>
      <c r="F588" s="446">
        <v>1</v>
      </c>
      <c r="G588" s="446"/>
      <c r="H588" s="402">
        <f t="shared" ref="H588:H591" si="29">F588</f>
        <v>1</v>
      </c>
    </row>
    <row r="589" spans="2:8" s="65" customFormat="1" ht="20.100000000000001" customHeight="1" x14ac:dyDescent="0.25">
      <c r="B589" s="447"/>
      <c r="C589" s="448"/>
      <c r="D589" s="83" t="s">
        <v>444</v>
      </c>
      <c r="E589" s="67" t="s">
        <v>356</v>
      </c>
      <c r="F589" s="446">
        <v>1</v>
      </c>
      <c r="G589" s="446"/>
      <c r="H589" s="402">
        <f t="shared" si="29"/>
        <v>1</v>
      </c>
    </row>
    <row r="590" spans="2:8" s="65" customFormat="1" ht="20.100000000000001" customHeight="1" x14ac:dyDescent="0.25">
      <c r="B590" s="447"/>
      <c r="C590" s="448"/>
      <c r="D590" s="83" t="s">
        <v>451</v>
      </c>
      <c r="E590" s="67" t="s">
        <v>356</v>
      </c>
      <c r="F590" s="446">
        <v>1</v>
      </c>
      <c r="G590" s="446"/>
      <c r="H590" s="402">
        <f t="shared" si="29"/>
        <v>1</v>
      </c>
    </row>
    <row r="591" spans="2:8" s="65" customFormat="1" ht="20.100000000000001" customHeight="1" x14ac:dyDescent="0.25">
      <c r="B591" s="447"/>
      <c r="C591" s="448"/>
      <c r="D591" s="83" t="s">
        <v>452</v>
      </c>
      <c r="E591" s="67" t="s">
        <v>356</v>
      </c>
      <c r="F591" s="446">
        <v>1</v>
      </c>
      <c r="G591" s="446"/>
      <c r="H591" s="402">
        <f t="shared" si="29"/>
        <v>1</v>
      </c>
    </row>
    <row r="592" spans="2:8" s="65" customFormat="1" ht="20.100000000000001" customHeight="1" x14ac:dyDescent="0.25">
      <c r="B592" s="386" t="s">
        <v>67</v>
      </c>
      <c r="C592" s="163">
        <v>80656</v>
      </c>
      <c r="D592" s="144" t="s">
        <v>367</v>
      </c>
      <c r="E592" s="162" t="s">
        <v>309</v>
      </c>
      <c r="F592" s="455" t="s">
        <v>355</v>
      </c>
      <c r="G592" s="455"/>
      <c r="H592" s="387">
        <f>SUM(H593:H605)</f>
        <v>21</v>
      </c>
    </row>
    <row r="593" spans="2:8" s="65" customFormat="1" ht="20.100000000000001" customHeight="1" x14ac:dyDescent="0.25">
      <c r="B593" s="388"/>
      <c r="C593" s="277"/>
      <c r="D593" s="83" t="s">
        <v>205</v>
      </c>
      <c r="E593" s="67" t="s">
        <v>356</v>
      </c>
      <c r="F593" s="446">
        <v>7</v>
      </c>
      <c r="G593" s="446"/>
      <c r="H593" s="402">
        <f t="shared" ref="H593:H596" si="30">F593</f>
        <v>7</v>
      </c>
    </row>
    <row r="594" spans="2:8" s="65" customFormat="1" ht="20.100000000000001" customHeight="1" x14ac:dyDescent="0.25">
      <c r="B594" s="389"/>
      <c r="C594" s="278"/>
      <c r="D594" s="83" t="s">
        <v>312</v>
      </c>
      <c r="E594" s="67" t="s">
        <v>356</v>
      </c>
      <c r="F594" s="446">
        <v>1</v>
      </c>
      <c r="G594" s="446"/>
      <c r="H594" s="402">
        <f t="shared" si="30"/>
        <v>1</v>
      </c>
    </row>
    <row r="595" spans="2:8" s="65" customFormat="1" ht="20.100000000000001" customHeight="1" x14ac:dyDescent="0.25">
      <c r="B595" s="389"/>
      <c r="C595" s="278"/>
      <c r="D595" s="83" t="s">
        <v>354</v>
      </c>
      <c r="E595" s="67" t="s">
        <v>356</v>
      </c>
      <c r="F595" s="446">
        <v>1</v>
      </c>
      <c r="G595" s="446"/>
      <c r="H595" s="402">
        <f t="shared" si="30"/>
        <v>1</v>
      </c>
    </row>
    <row r="596" spans="2:8" s="65" customFormat="1" ht="20.100000000000001" customHeight="1" x14ac:dyDescent="0.25">
      <c r="B596" s="389"/>
      <c r="C596" s="278"/>
      <c r="D596" s="83" t="s">
        <v>364</v>
      </c>
      <c r="E596" s="67" t="s">
        <v>356</v>
      </c>
      <c r="F596" s="446">
        <v>2</v>
      </c>
      <c r="G596" s="446"/>
      <c r="H596" s="402">
        <f t="shared" si="30"/>
        <v>2</v>
      </c>
    </row>
    <row r="597" spans="2:8" s="65" customFormat="1" ht="20.100000000000001" customHeight="1" x14ac:dyDescent="0.25">
      <c r="B597" s="390"/>
      <c r="C597" s="279"/>
      <c r="D597" s="83" t="s">
        <v>163</v>
      </c>
      <c r="E597" s="67" t="s">
        <v>356</v>
      </c>
      <c r="F597" s="446">
        <v>1</v>
      </c>
      <c r="G597" s="446"/>
      <c r="H597" s="402">
        <f>F597</f>
        <v>1</v>
      </c>
    </row>
    <row r="598" spans="2:8" s="65" customFormat="1" ht="20.100000000000001" customHeight="1" x14ac:dyDescent="0.25">
      <c r="B598" s="465"/>
      <c r="C598" s="466"/>
      <c r="D598" s="83" t="s">
        <v>164</v>
      </c>
      <c r="E598" s="67" t="s">
        <v>356</v>
      </c>
      <c r="F598" s="446">
        <v>1</v>
      </c>
      <c r="G598" s="446"/>
      <c r="H598" s="402">
        <f t="shared" ref="H598:H605" si="31">F598</f>
        <v>1</v>
      </c>
    </row>
    <row r="599" spans="2:8" s="65" customFormat="1" ht="20.100000000000001" customHeight="1" x14ac:dyDescent="0.25">
      <c r="B599" s="473"/>
      <c r="C599" s="474"/>
      <c r="D599" s="83" t="s">
        <v>189</v>
      </c>
      <c r="E599" s="67" t="s">
        <v>356</v>
      </c>
      <c r="F599" s="446">
        <v>1</v>
      </c>
      <c r="G599" s="446"/>
      <c r="H599" s="402">
        <f t="shared" si="31"/>
        <v>1</v>
      </c>
    </row>
    <row r="600" spans="2:8" s="65" customFormat="1" ht="20.100000000000001" customHeight="1" x14ac:dyDescent="0.25">
      <c r="B600" s="473"/>
      <c r="C600" s="474"/>
      <c r="D600" s="83" t="s">
        <v>120</v>
      </c>
      <c r="E600" s="67" t="s">
        <v>356</v>
      </c>
      <c r="F600" s="446">
        <v>1</v>
      </c>
      <c r="G600" s="446"/>
      <c r="H600" s="402">
        <f t="shared" si="31"/>
        <v>1</v>
      </c>
    </row>
    <row r="601" spans="2:8" s="65" customFormat="1" ht="20.100000000000001" customHeight="1" x14ac:dyDescent="0.25">
      <c r="B601" s="473"/>
      <c r="C601" s="474"/>
      <c r="D601" s="83" t="s">
        <v>129</v>
      </c>
      <c r="E601" s="67" t="s">
        <v>356</v>
      </c>
      <c r="F601" s="446">
        <v>1</v>
      </c>
      <c r="G601" s="446"/>
      <c r="H601" s="402">
        <f t="shared" si="31"/>
        <v>1</v>
      </c>
    </row>
    <row r="602" spans="2:8" s="65" customFormat="1" ht="20.100000000000001" customHeight="1" x14ac:dyDescent="0.25">
      <c r="B602" s="473"/>
      <c r="C602" s="474"/>
      <c r="D602" s="83" t="s">
        <v>128</v>
      </c>
      <c r="E602" s="67" t="s">
        <v>356</v>
      </c>
      <c r="F602" s="446">
        <v>1</v>
      </c>
      <c r="G602" s="446"/>
      <c r="H602" s="402">
        <f t="shared" si="31"/>
        <v>1</v>
      </c>
    </row>
    <row r="603" spans="2:8" s="65" customFormat="1" ht="20.100000000000001" customHeight="1" x14ac:dyDescent="0.25">
      <c r="B603" s="473"/>
      <c r="C603" s="474"/>
      <c r="D603" s="83" t="s">
        <v>441</v>
      </c>
      <c r="E603" s="67" t="s">
        <v>356</v>
      </c>
      <c r="F603" s="446">
        <v>1</v>
      </c>
      <c r="G603" s="446"/>
      <c r="H603" s="402">
        <f t="shared" si="31"/>
        <v>1</v>
      </c>
    </row>
    <row r="604" spans="2:8" s="65" customFormat="1" ht="20.100000000000001" customHeight="1" x14ac:dyDescent="0.25">
      <c r="B604" s="473"/>
      <c r="C604" s="474"/>
      <c r="D604" s="83" t="s">
        <v>440</v>
      </c>
      <c r="E604" s="67" t="s">
        <v>356</v>
      </c>
      <c r="F604" s="446">
        <v>1</v>
      </c>
      <c r="G604" s="446"/>
      <c r="H604" s="402">
        <f t="shared" si="31"/>
        <v>1</v>
      </c>
    </row>
    <row r="605" spans="2:8" s="65" customFormat="1" ht="20.100000000000001" customHeight="1" x14ac:dyDescent="0.25">
      <c r="B605" s="467"/>
      <c r="C605" s="468"/>
      <c r="D605" s="83" t="s">
        <v>1150</v>
      </c>
      <c r="E605" s="67"/>
      <c r="F605" s="461">
        <v>2</v>
      </c>
      <c r="G605" s="462"/>
      <c r="H605" s="402">
        <f t="shared" si="31"/>
        <v>2</v>
      </c>
    </row>
    <row r="606" spans="2:8" s="65" customFormat="1" ht="20.100000000000001" customHeight="1" x14ac:dyDescent="0.25">
      <c r="B606" s="386" t="s">
        <v>68</v>
      </c>
      <c r="C606" s="163">
        <v>80556</v>
      </c>
      <c r="D606" s="144" t="s">
        <v>363</v>
      </c>
      <c r="E606" s="162" t="s">
        <v>309</v>
      </c>
      <c r="F606" s="455" t="s">
        <v>355</v>
      </c>
      <c r="G606" s="455"/>
      <c r="H606" s="387">
        <f>SUM(H607:H617)</f>
        <v>30</v>
      </c>
    </row>
    <row r="607" spans="2:8" s="65" customFormat="1" ht="20.100000000000001" customHeight="1" x14ac:dyDescent="0.25">
      <c r="B607" s="447"/>
      <c r="C607" s="448"/>
      <c r="D607" s="83" t="s">
        <v>193</v>
      </c>
      <c r="E607" s="67" t="s">
        <v>356</v>
      </c>
      <c r="F607" s="446">
        <v>3</v>
      </c>
      <c r="G607" s="446"/>
      <c r="H607" s="402">
        <f t="shared" ref="H607:H617" si="32">F607</f>
        <v>3</v>
      </c>
    </row>
    <row r="608" spans="2:8" s="65" customFormat="1" ht="20.100000000000001" customHeight="1" x14ac:dyDescent="0.25">
      <c r="B608" s="447"/>
      <c r="C608" s="448"/>
      <c r="D608" s="83" t="s">
        <v>194</v>
      </c>
      <c r="E608" s="67" t="s">
        <v>356</v>
      </c>
      <c r="F608" s="446">
        <v>3</v>
      </c>
      <c r="G608" s="446"/>
      <c r="H608" s="402">
        <f t="shared" si="32"/>
        <v>3</v>
      </c>
    </row>
    <row r="609" spans="2:8" s="65" customFormat="1" ht="20.100000000000001" customHeight="1" x14ac:dyDescent="0.25">
      <c r="B609" s="447"/>
      <c r="C609" s="448"/>
      <c r="D609" s="83" t="s">
        <v>360</v>
      </c>
      <c r="E609" s="67" t="s">
        <v>356</v>
      </c>
      <c r="F609" s="446">
        <v>3</v>
      </c>
      <c r="G609" s="446"/>
      <c r="H609" s="402">
        <f t="shared" si="32"/>
        <v>3</v>
      </c>
    </row>
    <row r="610" spans="2:8" s="65" customFormat="1" ht="20.100000000000001" customHeight="1" x14ac:dyDescent="0.25">
      <c r="B610" s="447"/>
      <c r="C610" s="448"/>
      <c r="D610" s="83" t="s">
        <v>315</v>
      </c>
      <c r="E610" s="67" t="s">
        <v>356</v>
      </c>
      <c r="F610" s="446">
        <v>3</v>
      </c>
      <c r="G610" s="446"/>
      <c r="H610" s="402">
        <f t="shared" si="32"/>
        <v>3</v>
      </c>
    </row>
    <row r="611" spans="2:8" s="65" customFormat="1" ht="20.100000000000001" customHeight="1" x14ac:dyDescent="0.25">
      <c r="B611" s="447"/>
      <c r="C611" s="448"/>
      <c r="D611" s="83" t="s">
        <v>316</v>
      </c>
      <c r="E611" s="67" t="s">
        <v>356</v>
      </c>
      <c r="F611" s="446">
        <v>3</v>
      </c>
      <c r="G611" s="446"/>
      <c r="H611" s="402">
        <f t="shared" si="32"/>
        <v>3</v>
      </c>
    </row>
    <row r="612" spans="2:8" s="65" customFormat="1" ht="20.100000000000001" customHeight="1" x14ac:dyDescent="0.25">
      <c r="B612" s="447"/>
      <c r="C612" s="448"/>
      <c r="D612" s="83" t="s">
        <v>205</v>
      </c>
      <c r="E612" s="67" t="s">
        <v>356</v>
      </c>
      <c r="F612" s="446">
        <v>7</v>
      </c>
      <c r="G612" s="446"/>
      <c r="H612" s="402">
        <f t="shared" si="32"/>
        <v>7</v>
      </c>
    </row>
    <row r="613" spans="2:8" s="65" customFormat="1" ht="20.100000000000001" customHeight="1" x14ac:dyDescent="0.25">
      <c r="B613" s="447"/>
      <c r="C613" s="448"/>
      <c r="D613" s="83" t="s">
        <v>312</v>
      </c>
      <c r="E613" s="67" t="s">
        <v>356</v>
      </c>
      <c r="F613" s="446">
        <v>1</v>
      </c>
      <c r="G613" s="446"/>
      <c r="H613" s="402">
        <f t="shared" si="32"/>
        <v>1</v>
      </c>
    </row>
    <row r="614" spans="2:8" s="65" customFormat="1" ht="20.100000000000001" customHeight="1" x14ac:dyDescent="0.25">
      <c r="B614" s="447"/>
      <c r="C614" s="448"/>
      <c r="D614" s="83" t="s">
        <v>354</v>
      </c>
      <c r="E614" s="67" t="s">
        <v>356</v>
      </c>
      <c r="F614" s="446">
        <v>1</v>
      </c>
      <c r="G614" s="446"/>
      <c r="H614" s="402">
        <f t="shared" si="32"/>
        <v>1</v>
      </c>
    </row>
    <row r="615" spans="2:8" s="65" customFormat="1" ht="20.100000000000001" customHeight="1" x14ac:dyDescent="0.25">
      <c r="B615" s="447"/>
      <c r="C615" s="448"/>
      <c r="D615" s="83" t="s">
        <v>364</v>
      </c>
      <c r="E615" s="67" t="s">
        <v>356</v>
      </c>
      <c r="F615" s="446">
        <v>2</v>
      </c>
      <c r="G615" s="446"/>
      <c r="H615" s="402">
        <f t="shared" si="32"/>
        <v>2</v>
      </c>
    </row>
    <row r="616" spans="2:8" s="65" customFormat="1" ht="20.100000000000001" customHeight="1" x14ac:dyDescent="0.25">
      <c r="B616" s="447"/>
      <c r="C616" s="448"/>
      <c r="D616" s="83" t="s">
        <v>163</v>
      </c>
      <c r="E616" s="67" t="s">
        <v>356</v>
      </c>
      <c r="F616" s="446">
        <v>1</v>
      </c>
      <c r="G616" s="446"/>
      <c r="H616" s="402">
        <f t="shared" si="32"/>
        <v>1</v>
      </c>
    </row>
    <row r="617" spans="2:8" s="65" customFormat="1" ht="20.100000000000001" customHeight="1" x14ac:dyDescent="0.25">
      <c r="B617" s="447"/>
      <c r="C617" s="448"/>
      <c r="D617" s="83" t="s">
        <v>164</v>
      </c>
      <c r="E617" s="67" t="s">
        <v>356</v>
      </c>
      <c r="F617" s="446">
        <v>3</v>
      </c>
      <c r="G617" s="446"/>
      <c r="H617" s="402">
        <f t="shared" si="32"/>
        <v>3</v>
      </c>
    </row>
    <row r="618" spans="2:8" s="65" customFormat="1" ht="20.100000000000001" customHeight="1" x14ac:dyDescent="0.25">
      <c r="B618" s="386" t="s">
        <v>69</v>
      </c>
      <c r="C618" s="163">
        <v>80561</v>
      </c>
      <c r="D618" s="144" t="s">
        <v>365</v>
      </c>
      <c r="E618" s="162" t="s">
        <v>309</v>
      </c>
      <c r="F618" s="455" t="s">
        <v>355</v>
      </c>
      <c r="G618" s="455"/>
      <c r="H618" s="387">
        <f>SUM(H619:H624)</f>
        <v>18</v>
      </c>
    </row>
    <row r="619" spans="2:8" s="65" customFormat="1" ht="20.100000000000001" customHeight="1" x14ac:dyDescent="0.25">
      <c r="B619" s="447"/>
      <c r="C619" s="448"/>
      <c r="D619" s="83" t="s">
        <v>193</v>
      </c>
      <c r="E619" s="67" t="s">
        <v>356</v>
      </c>
      <c r="F619" s="446">
        <v>3</v>
      </c>
      <c r="G619" s="446"/>
      <c r="H619" s="402">
        <f t="shared" ref="H619:H624" si="33">F619</f>
        <v>3</v>
      </c>
    </row>
    <row r="620" spans="2:8" s="65" customFormat="1" ht="20.100000000000001" customHeight="1" x14ac:dyDescent="0.25">
      <c r="B620" s="447"/>
      <c r="C620" s="448"/>
      <c r="D620" s="83" t="s">
        <v>194</v>
      </c>
      <c r="E620" s="67" t="s">
        <v>356</v>
      </c>
      <c r="F620" s="446">
        <v>3</v>
      </c>
      <c r="G620" s="446"/>
      <c r="H620" s="402">
        <f t="shared" si="33"/>
        <v>3</v>
      </c>
    </row>
    <row r="621" spans="2:8" s="65" customFormat="1" ht="20.100000000000001" customHeight="1" x14ac:dyDescent="0.25">
      <c r="B621" s="447"/>
      <c r="C621" s="448"/>
      <c r="D621" s="83" t="s">
        <v>360</v>
      </c>
      <c r="E621" s="67" t="s">
        <v>356</v>
      </c>
      <c r="F621" s="446">
        <v>3</v>
      </c>
      <c r="G621" s="446"/>
      <c r="H621" s="402">
        <f t="shared" si="33"/>
        <v>3</v>
      </c>
    </row>
    <row r="622" spans="2:8" s="65" customFormat="1" ht="20.100000000000001" customHeight="1" x14ac:dyDescent="0.25">
      <c r="B622" s="447"/>
      <c r="C622" s="448"/>
      <c r="D622" s="83" t="s">
        <v>315</v>
      </c>
      <c r="E622" s="67" t="s">
        <v>356</v>
      </c>
      <c r="F622" s="446">
        <v>3</v>
      </c>
      <c r="G622" s="446"/>
      <c r="H622" s="402">
        <f t="shared" si="33"/>
        <v>3</v>
      </c>
    </row>
    <row r="623" spans="2:8" s="65" customFormat="1" ht="20.100000000000001" customHeight="1" x14ac:dyDescent="0.25">
      <c r="B623" s="447"/>
      <c r="C623" s="448"/>
      <c r="D623" s="83" t="s">
        <v>316</v>
      </c>
      <c r="E623" s="67" t="s">
        <v>356</v>
      </c>
      <c r="F623" s="446">
        <v>3</v>
      </c>
      <c r="G623" s="446"/>
      <c r="H623" s="402">
        <f t="shared" si="33"/>
        <v>3</v>
      </c>
    </row>
    <row r="624" spans="2:8" s="65" customFormat="1" ht="20.100000000000001" customHeight="1" x14ac:dyDescent="0.25">
      <c r="B624" s="447"/>
      <c r="C624" s="448"/>
      <c r="D624" s="83" t="s">
        <v>164</v>
      </c>
      <c r="E624" s="67" t="s">
        <v>356</v>
      </c>
      <c r="F624" s="446">
        <v>3</v>
      </c>
      <c r="G624" s="446"/>
      <c r="H624" s="402">
        <f t="shared" si="33"/>
        <v>3</v>
      </c>
    </row>
    <row r="625" spans="2:8" s="65" customFormat="1" ht="20.100000000000001" customHeight="1" x14ac:dyDescent="0.25">
      <c r="B625" s="386" t="s">
        <v>70</v>
      </c>
      <c r="C625" s="163">
        <v>80671</v>
      </c>
      <c r="D625" s="144" t="s">
        <v>366</v>
      </c>
      <c r="E625" s="162" t="s">
        <v>309</v>
      </c>
      <c r="F625" s="455" t="s">
        <v>355</v>
      </c>
      <c r="G625" s="455"/>
      <c r="H625" s="387">
        <f>SUM(H626:H636)</f>
        <v>18</v>
      </c>
    </row>
    <row r="626" spans="2:8" s="65" customFormat="1" ht="20.100000000000001" customHeight="1" x14ac:dyDescent="0.25">
      <c r="B626" s="447"/>
      <c r="C626" s="448"/>
      <c r="D626" s="83" t="s">
        <v>205</v>
      </c>
      <c r="E626" s="67" t="s">
        <v>356</v>
      </c>
      <c r="F626" s="446">
        <v>7</v>
      </c>
      <c r="G626" s="446"/>
      <c r="H626" s="402">
        <f t="shared" ref="H626:H636" si="34">F626</f>
        <v>7</v>
      </c>
    </row>
    <row r="627" spans="2:8" s="65" customFormat="1" ht="20.100000000000001" customHeight="1" x14ac:dyDescent="0.25">
      <c r="B627" s="447"/>
      <c r="C627" s="448"/>
      <c r="D627" s="83" t="s">
        <v>312</v>
      </c>
      <c r="E627" s="67" t="s">
        <v>356</v>
      </c>
      <c r="F627" s="446">
        <v>1</v>
      </c>
      <c r="G627" s="446"/>
      <c r="H627" s="402">
        <f t="shared" si="34"/>
        <v>1</v>
      </c>
    </row>
    <row r="628" spans="2:8" s="65" customFormat="1" ht="20.100000000000001" customHeight="1" x14ac:dyDescent="0.25">
      <c r="B628" s="447"/>
      <c r="C628" s="448"/>
      <c r="D628" s="83" t="s">
        <v>354</v>
      </c>
      <c r="E628" s="67" t="s">
        <v>356</v>
      </c>
      <c r="F628" s="446">
        <v>1</v>
      </c>
      <c r="G628" s="446"/>
      <c r="H628" s="402">
        <f t="shared" si="34"/>
        <v>1</v>
      </c>
    </row>
    <row r="629" spans="2:8" s="65" customFormat="1" ht="20.100000000000001" customHeight="1" x14ac:dyDescent="0.25">
      <c r="B629" s="447"/>
      <c r="C629" s="448"/>
      <c r="D629" s="83" t="s">
        <v>364</v>
      </c>
      <c r="E629" s="67" t="s">
        <v>356</v>
      </c>
      <c r="F629" s="446">
        <v>2</v>
      </c>
      <c r="G629" s="446"/>
      <c r="H629" s="402">
        <f t="shared" si="34"/>
        <v>2</v>
      </c>
    </row>
    <row r="630" spans="2:8" s="65" customFormat="1" ht="20.100000000000001" customHeight="1" x14ac:dyDescent="0.25">
      <c r="B630" s="447"/>
      <c r="C630" s="448"/>
      <c r="D630" s="83" t="s">
        <v>163</v>
      </c>
      <c r="E630" s="67" t="s">
        <v>356</v>
      </c>
      <c r="F630" s="446">
        <v>1</v>
      </c>
      <c r="G630" s="446"/>
      <c r="H630" s="402">
        <f t="shared" si="34"/>
        <v>1</v>
      </c>
    </row>
    <row r="631" spans="2:8" s="65" customFormat="1" ht="20.100000000000001" customHeight="1" x14ac:dyDescent="0.25">
      <c r="B631" s="447"/>
      <c r="C631" s="448"/>
      <c r="D631" s="83" t="s">
        <v>189</v>
      </c>
      <c r="E631" s="67" t="s">
        <v>356</v>
      </c>
      <c r="F631" s="446">
        <v>1</v>
      </c>
      <c r="G631" s="446"/>
      <c r="H631" s="402">
        <f t="shared" si="34"/>
        <v>1</v>
      </c>
    </row>
    <row r="632" spans="2:8" s="65" customFormat="1" ht="20.100000000000001" customHeight="1" x14ac:dyDescent="0.25">
      <c r="B632" s="447"/>
      <c r="C632" s="448"/>
      <c r="D632" s="83" t="s">
        <v>120</v>
      </c>
      <c r="E632" s="67" t="s">
        <v>356</v>
      </c>
      <c r="F632" s="446">
        <v>1</v>
      </c>
      <c r="G632" s="446"/>
      <c r="H632" s="402">
        <f t="shared" si="34"/>
        <v>1</v>
      </c>
    </row>
    <row r="633" spans="2:8" s="65" customFormat="1" ht="19.5" customHeight="1" x14ac:dyDescent="0.25">
      <c r="B633" s="447"/>
      <c r="C633" s="448"/>
      <c r="D633" s="83" t="s">
        <v>129</v>
      </c>
      <c r="E633" s="67" t="s">
        <v>356</v>
      </c>
      <c r="F633" s="446">
        <v>1</v>
      </c>
      <c r="G633" s="446"/>
      <c r="H633" s="402">
        <f t="shared" si="34"/>
        <v>1</v>
      </c>
    </row>
    <row r="634" spans="2:8" s="65" customFormat="1" ht="20.100000000000001" customHeight="1" x14ac:dyDescent="0.25">
      <c r="B634" s="447"/>
      <c r="C634" s="448"/>
      <c r="D634" s="83" t="s">
        <v>128</v>
      </c>
      <c r="E634" s="67" t="s">
        <v>356</v>
      </c>
      <c r="F634" s="446">
        <v>1</v>
      </c>
      <c r="G634" s="446"/>
      <c r="H634" s="402">
        <f t="shared" si="34"/>
        <v>1</v>
      </c>
    </row>
    <row r="635" spans="2:8" s="65" customFormat="1" ht="20.100000000000001" customHeight="1" x14ac:dyDescent="0.25">
      <c r="B635" s="447"/>
      <c r="C635" s="448"/>
      <c r="D635" s="83" t="s">
        <v>441</v>
      </c>
      <c r="E635" s="67" t="s">
        <v>356</v>
      </c>
      <c r="F635" s="446">
        <v>1</v>
      </c>
      <c r="G635" s="446"/>
      <c r="H635" s="402">
        <f t="shared" si="34"/>
        <v>1</v>
      </c>
    </row>
    <row r="636" spans="2:8" s="65" customFormat="1" ht="20.100000000000001" customHeight="1" x14ac:dyDescent="0.25">
      <c r="B636" s="447"/>
      <c r="C636" s="448"/>
      <c r="D636" s="83" t="s">
        <v>440</v>
      </c>
      <c r="E636" s="67" t="s">
        <v>356</v>
      </c>
      <c r="F636" s="446">
        <v>1</v>
      </c>
      <c r="G636" s="446"/>
      <c r="H636" s="402">
        <f t="shared" si="34"/>
        <v>1</v>
      </c>
    </row>
    <row r="637" spans="2:8" s="65" customFormat="1" ht="20.100000000000001" customHeight="1" x14ac:dyDescent="0.25">
      <c r="B637" s="386" t="s">
        <v>499</v>
      </c>
      <c r="C637" s="163">
        <v>80532</v>
      </c>
      <c r="D637" s="144" t="s">
        <v>1198</v>
      </c>
      <c r="E637" s="162" t="s">
        <v>340</v>
      </c>
      <c r="F637" s="455" t="s">
        <v>355</v>
      </c>
      <c r="G637" s="455"/>
      <c r="H637" s="387">
        <f>SUM(H638:H639)</f>
        <v>4</v>
      </c>
    </row>
    <row r="638" spans="2:8" s="65" customFormat="1" ht="20.100000000000001" customHeight="1" x14ac:dyDescent="0.25">
      <c r="B638" s="465"/>
      <c r="C638" s="466"/>
      <c r="D638" s="83" t="s">
        <v>315</v>
      </c>
      <c r="E638" s="67" t="s">
        <v>340</v>
      </c>
      <c r="F638" s="461">
        <v>2</v>
      </c>
      <c r="G638" s="462"/>
      <c r="H638" s="402">
        <f>F638</f>
        <v>2</v>
      </c>
    </row>
    <row r="639" spans="2:8" s="65" customFormat="1" ht="20.100000000000001" customHeight="1" x14ac:dyDescent="0.25">
      <c r="B639" s="467"/>
      <c r="C639" s="468"/>
      <c r="D639" s="83" t="s">
        <v>316</v>
      </c>
      <c r="E639" s="67" t="s">
        <v>340</v>
      </c>
      <c r="F639" s="461">
        <v>2</v>
      </c>
      <c r="G639" s="462"/>
      <c r="H639" s="402">
        <f>F639</f>
        <v>2</v>
      </c>
    </row>
    <row r="640" spans="2:8" s="65" customFormat="1" ht="20.100000000000001" customHeight="1" x14ac:dyDescent="0.25">
      <c r="B640" s="386" t="s">
        <v>500</v>
      </c>
      <c r="C640" s="163">
        <v>80730</v>
      </c>
      <c r="D640" s="144" t="s">
        <v>1199</v>
      </c>
      <c r="E640" s="162" t="s">
        <v>340</v>
      </c>
      <c r="F640" s="455" t="s">
        <v>355</v>
      </c>
      <c r="G640" s="455"/>
      <c r="H640" s="387">
        <f>SUM(H641:H642)</f>
        <v>10</v>
      </c>
    </row>
    <row r="641" spans="2:8" s="65" customFormat="1" ht="20.100000000000001" customHeight="1" x14ac:dyDescent="0.25">
      <c r="B641" s="465"/>
      <c r="C641" s="466"/>
      <c r="D641" s="83" t="s">
        <v>315</v>
      </c>
      <c r="E641" s="67" t="s">
        <v>340</v>
      </c>
      <c r="F641" s="461">
        <v>5</v>
      </c>
      <c r="G641" s="462"/>
      <c r="H641" s="402">
        <f>F641</f>
        <v>5</v>
      </c>
    </row>
    <row r="642" spans="2:8" s="65" customFormat="1" ht="20.100000000000001" customHeight="1" x14ac:dyDescent="0.25">
      <c r="B642" s="467"/>
      <c r="C642" s="468"/>
      <c r="D642" s="83" t="s">
        <v>316</v>
      </c>
      <c r="E642" s="67" t="s">
        <v>340</v>
      </c>
      <c r="F642" s="461">
        <v>5</v>
      </c>
      <c r="G642" s="462"/>
      <c r="H642" s="402">
        <f>F642</f>
        <v>5</v>
      </c>
    </row>
    <row r="643" spans="2:8" s="65" customFormat="1" ht="32.25" customHeight="1" x14ac:dyDescent="0.25">
      <c r="B643" s="386" t="s">
        <v>501</v>
      </c>
      <c r="C643" s="163" t="s">
        <v>1200</v>
      </c>
      <c r="D643" s="88" t="s">
        <v>1201</v>
      </c>
      <c r="E643" s="162" t="s">
        <v>340</v>
      </c>
      <c r="F643" s="455" t="s">
        <v>355</v>
      </c>
      <c r="G643" s="455"/>
      <c r="H643" s="387">
        <f>SUM(H644:H667)</f>
        <v>34</v>
      </c>
    </row>
    <row r="644" spans="2:8" s="65" customFormat="1" ht="20.100000000000001" customHeight="1" x14ac:dyDescent="0.25">
      <c r="B644" s="465"/>
      <c r="C644" s="466"/>
      <c r="D644" s="83" t="s">
        <v>128</v>
      </c>
      <c r="E644" s="67" t="s">
        <v>340</v>
      </c>
      <c r="F644" s="461">
        <v>1</v>
      </c>
      <c r="G644" s="462"/>
      <c r="H644" s="402">
        <f>F644</f>
        <v>1</v>
      </c>
    </row>
    <row r="645" spans="2:8" s="65" customFormat="1" ht="20.100000000000001" customHeight="1" x14ac:dyDescent="0.25">
      <c r="B645" s="473"/>
      <c r="C645" s="474"/>
      <c r="D645" s="83" t="s">
        <v>315</v>
      </c>
      <c r="E645" s="67" t="s">
        <v>340</v>
      </c>
      <c r="F645" s="461">
        <v>2</v>
      </c>
      <c r="G645" s="462"/>
      <c r="H645" s="402">
        <f t="shared" ref="H645:H667" si="35">F645</f>
        <v>2</v>
      </c>
    </row>
    <row r="646" spans="2:8" s="65" customFormat="1" ht="20.100000000000001" customHeight="1" x14ac:dyDescent="0.25">
      <c r="B646" s="473"/>
      <c r="C646" s="474"/>
      <c r="D646" s="83" t="s">
        <v>189</v>
      </c>
      <c r="E646" s="67" t="s">
        <v>340</v>
      </c>
      <c r="F646" s="461">
        <v>1</v>
      </c>
      <c r="G646" s="462"/>
      <c r="H646" s="402">
        <f t="shared" si="35"/>
        <v>1</v>
      </c>
    </row>
    <row r="647" spans="2:8" s="65" customFormat="1" ht="20.100000000000001" customHeight="1" x14ac:dyDescent="0.25">
      <c r="B647" s="473"/>
      <c r="C647" s="474"/>
      <c r="D647" s="83" t="s">
        <v>189</v>
      </c>
      <c r="E647" s="67" t="s">
        <v>340</v>
      </c>
      <c r="F647" s="461">
        <v>1</v>
      </c>
      <c r="G647" s="462"/>
      <c r="H647" s="402">
        <f t="shared" si="35"/>
        <v>1</v>
      </c>
    </row>
    <row r="648" spans="2:8" s="65" customFormat="1" ht="20.100000000000001" customHeight="1" x14ac:dyDescent="0.25">
      <c r="B648" s="473"/>
      <c r="C648" s="474"/>
      <c r="D648" s="83" t="s">
        <v>316</v>
      </c>
      <c r="E648" s="67" t="s">
        <v>340</v>
      </c>
      <c r="F648" s="461">
        <v>2</v>
      </c>
      <c r="G648" s="462"/>
      <c r="H648" s="402">
        <f t="shared" si="35"/>
        <v>2</v>
      </c>
    </row>
    <row r="649" spans="2:8" s="65" customFormat="1" ht="20.100000000000001" customHeight="1" x14ac:dyDescent="0.25">
      <c r="B649" s="473"/>
      <c r="C649" s="474"/>
      <c r="D649" s="83" t="s">
        <v>189</v>
      </c>
      <c r="E649" s="67" t="s">
        <v>340</v>
      </c>
      <c r="F649" s="461">
        <v>1</v>
      </c>
      <c r="G649" s="462"/>
      <c r="H649" s="402">
        <f t="shared" si="35"/>
        <v>1</v>
      </c>
    </row>
    <row r="650" spans="2:8" s="65" customFormat="1" ht="20.100000000000001" customHeight="1" x14ac:dyDescent="0.25">
      <c r="B650" s="473"/>
      <c r="C650" s="474"/>
      <c r="D650" s="83" t="s">
        <v>137</v>
      </c>
      <c r="E650" s="67" t="s">
        <v>340</v>
      </c>
      <c r="F650" s="461">
        <v>1</v>
      </c>
      <c r="G650" s="462"/>
      <c r="H650" s="402">
        <f t="shared" si="35"/>
        <v>1</v>
      </c>
    </row>
    <row r="651" spans="2:8" s="65" customFormat="1" ht="20.100000000000001" customHeight="1" x14ac:dyDescent="0.25">
      <c r="B651" s="473"/>
      <c r="C651" s="474"/>
      <c r="D651" s="83" t="s">
        <v>297</v>
      </c>
      <c r="E651" s="67" t="s">
        <v>340</v>
      </c>
      <c r="F651" s="461">
        <v>1</v>
      </c>
      <c r="G651" s="462"/>
      <c r="H651" s="402">
        <f t="shared" si="35"/>
        <v>1</v>
      </c>
    </row>
    <row r="652" spans="2:8" s="65" customFormat="1" ht="20.100000000000001" customHeight="1" x14ac:dyDescent="0.25">
      <c r="B652" s="473"/>
      <c r="C652" s="474"/>
      <c r="D652" s="83" t="s">
        <v>186</v>
      </c>
      <c r="E652" s="67" t="s">
        <v>340</v>
      </c>
      <c r="F652" s="461">
        <v>3</v>
      </c>
      <c r="G652" s="462"/>
      <c r="H652" s="402">
        <f t="shared" si="35"/>
        <v>3</v>
      </c>
    </row>
    <row r="653" spans="2:8" s="65" customFormat="1" ht="20.100000000000001" customHeight="1" x14ac:dyDescent="0.25">
      <c r="B653" s="473"/>
      <c r="C653" s="474"/>
      <c r="D653" s="83" t="s">
        <v>205</v>
      </c>
      <c r="E653" s="67" t="s">
        <v>340</v>
      </c>
      <c r="F653" s="461">
        <v>2</v>
      </c>
      <c r="G653" s="462"/>
      <c r="H653" s="402">
        <f t="shared" si="35"/>
        <v>2</v>
      </c>
    </row>
    <row r="654" spans="2:8" s="65" customFormat="1" ht="20.100000000000001" customHeight="1" x14ac:dyDescent="0.25">
      <c r="B654" s="473"/>
      <c r="C654" s="474"/>
      <c r="D654" s="83" t="s">
        <v>428</v>
      </c>
      <c r="E654" s="67" t="s">
        <v>340</v>
      </c>
      <c r="F654" s="461">
        <v>1</v>
      </c>
      <c r="G654" s="462"/>
      <c r="H654" s="402">
        <f t="shared" si="35"/>
        <v>1</v>
      </c>
    </row>
    <row r="655" spans="2:8" s="65" customFormat="1" ht="20.100000000000001" customHeight="1" x14ac:dyDescent="0.25">
      <c r="B655" s="473"/>
      <c r="C655" s="474"/>
      <c r="D655" s="83" t="s">
        <v>1202</v>
      </c>
      <c r="E655" s="67" t="s">
        <v>340</v>
      </c>
      <c r="F655" s="461">
        <v>1</v>
      </c>
      <c r="G655" s="462"/>
      <c r="H655" s="402">
        <f t="shared" si="35"/>
        <v>1</v>
      </c>
    </row>
    <row r="656" spans="2:8" s="65" customFormat="1" ht="20.100000000000001" customHeight="1" x14ac:dyDescent="0.25">
      <c r="B656" s="473"/>
      <c r="C656" s="474"/>
      <c r="D656" s="83" t="s">
        <v>141</v>
      </c>
      <c r="E656" s="67" t="s">
        <v>340</v>
      </c>
      <c r="F656" s="461">
        <v>1</v>
      </c>
      <c r="G656" s="462"/>
      <c r="H656" s="402">
        <f t="shared" si="35"/>
        <v>1</v>
      </c>
    </row>
    <row r="657" spans="2:8" s="65" customFormat="1" ht="20.100000000000001" customHeight="1" x14ac:dyDescent="0.25">
      <c r="B657" s="473"/>
      <c r="C657" s="474"/>
      <c r="D657" s="83" t="s">
        <v>121</v>
      </c>
      <c r="E657" s="67" t="s">
        <v>340</v>
      </c>
      <c r="F657" s="461">
        <v>1</v>
      </c>
      <c r="G657" s="462"/>
      <c r="H657" s="402">
        <f t="shared" si="35"/>
        <v>1</v>
      </c>
    </row>
    <row r="658" spans="2:8" s="65" customFormat="1" ht="20.100000000000001" customHeight="1" x14ac:dyDescent="0.25">
      <c r="B658" s="473"/>
      <c r="C658" s="474"/>
      <c r="D658" s="83" t="s">
        <v>142</v>
      </c>
      <c r="E658" s="67" t="s">
        <v>340</v>
      </c>
      <c r="F658" s="461">
        <v>1</v>
      </c>
      <c r="G658" s="462"/>
      <c r="H658" s="402">
        <f t="shared" si="35"/>
        <v>1</v>
      </c>
    </row>
    <row r="659" spans="2:8" s="65" customFormat="1" ht="20.100000000000001" customHeight="1" x14ac:dyDescent="0.25">
      <c r="B659" s="473"/>
      <c r="C659" s="474"/>
      <c r="D659" s="83" t="s">
        <v>397</v>
      </c>
      <c r="E659" s="67" t="s">
        <v>340</v>
      </c>
      <c r="F659" s="461">
        <v>1</v>
      </c>
      <c r="G659" s="462"/>
      <c r="H659" s="402">
        <f t="shared" si="35"/>
        <v>1</v>
      </c>
    </row>
    <row r="660" spans="2:8" s="65" customFormat="1" ht="20.100000000000001" customHeight="1" x14ac:dyDescent="0.25">
      <c r="B660" s="473"/>
      <c r="C660" s="474"/>
      <c r="D660" s="83" t="s">
        <v>437</v>
      </c>
      <c r="E660" s="67" t="s">
        <v>340</v>
      </c>
      <c r="F660" s="461">
        <v>1</v>
      </c>
      <c r="G660" s="462"/>
      <c r="H660" s="402">
        <f t="shared" si="35"/>
        <v>1</v>
      </c>
    </row>
    <row r="661" spans="2:8" s="65" customFormat="1" ht="20.100000000000001" customHeight="1" x14ac:dyDescent="0.25">
      <c r="B661" s="473"/>
      <c r="C661" s="474"/>
      <c r="D661" s="83" t="s">
        <v>1203</v>
      </c>
      <c r="E661" s="67" t="s">
        <v>340</v>
      </c>
      <c r="F661" s="461">
        <v>2</v>
      </c>
      <c r="G661" s="462"/>
      <c r="H661" s="402">
        <f t="shared" si="35"/>
        <v>2</v>
      </c>
    </row>
    <row r="662" spans="2:8" s="65" customFormat="1" ht="20.100000000000001" customHeight="1" x14ac:dyDescent="0.25">
      <c r="B662" s="473"/>
      <c r="C662" s="474"/>
      <c r="D662" s="83" t="s">
        <v>433</v>
      </c>
      <c r="E662" s="67" t="s">
        <v>340</v>
      </c>
      <c r="F662" s="461">
        <v>1</v>
      </c>
      <c r="G662" s="462"/>
      <c r="H662" s="402">
        <f t="shared" si="35"/>
        <v>1</v>
      </c>
    </row>
    <row r="663" spans="2:8" s="65" customFormat="1" ht="20.100000000000001" customHeight="1" x14ac:dyDescent="0.25">
      <c r="B663" s="473"/>
      <c r="C663" s="474"/>
      <c r="D663" s="83" t="s">
        <v>1204</v>
      </c>
      <c r="E663" s="67" t="s">
        <v>340</v>
      </c>
      <c r="F663" s="461">
        <v>1</v>
      </c>
      <c r="G663" s="462"/>
      <c r="H663" s="402">
        <f t="shared" si="35"/>
        <v>1</v>
      </c>
    </row>
    <row r="664" spans="2:8" s="65" customFormat="1" ht="20.100000000000001" customHeight="1" x14ac:dyDescent="0.25">
      <c r="B664" s="473"/>
      <c r="C664" s="474"/>
      <c r="D664" s="83" t="s">
        <v>440</v>
      </c>
      <c r="E664" s="67" t="s">
        <v>340</v>
      </c>
      <c r="F664" s="461">
        <v>1</v>
      </c>
      <c r="G664" s="462"/>
      <c r="H664" s="402">
        <f t="shared" si="35"/>
        <v>1</v>
      </c>
    </row>
    <row r="665" spans="2:8" s="65" customFormat="1" ht="20.100000000000001" customHeight="1" x14ac:dyDescent="0.25">
      <c r="B665" s="473"/>
      <c r="C665" s="474"/>
      <c r="D665" s="83" t="s">
        <v>360</v>
      </c>
      <c r="E665" s="67" t="s">
        <v>340</v>
      </c>
      <c r="F665" s="461">
        <v>2</v>
      </c>
      <c r="G665" s="462"/>
      <c r="H665" s="402">
        <f t="shared" si="35"/>
        <v>2</v>
      </c>
    </row>
    <row r="666" spans="2:8" s="65" customFormat="1" ht="20.100000000000001" customHeight="1" x14ac:dyDescent="0.25">
      <c r="B666" s="473"/>
      <c r="C666" s="474"/>
      <c r="D666" s="83" t="s">
        <v>441</v>
      </c>
      <c r="E666" s="67" t="s">
        <v>340</v>
      </c>
      <c r="F666" s="461">
        <v>1</v>
      </c>
      <c r="G666" s="462"/>
      <c r="H666" s="402">
        <f t="shared" si="35"/>
        <v>1</v>
      </c>
    </row>
    <row r="667" spans="2:8" s="65" customFormat="1" ht="20.100000000000001" customHeight="1" x14ac:dyDescent="0.25">
      <c r="B667" s="467"/>
      <c r="C667" s="468"/>
      <c r="D667" s="83" t="s">
        <v>1205</v>
      </c>
      <c r="E667" s="67" t="s">
        <v>340</v>
      </c>
      <c r="F667" s="461">
        <v>4</v>
      </c>
      <c r="G667" s="462"/>
      <c r="H667" s="402">
        <f t="shared" si="35"/>
        <v>4</v>
      </c>
    </row>
    <row r="668" spans="2:8" s="65" customFormat="1" ht="20.100000000000001" customHeight="1" x14ac:dyDescent="0.25">
      <c r="B668" s="386" t="s">
        <v>502</v>
      </c>
      <c r="C668" s="163">
        <v>80686</v>
      </c>
      <c r="D668" s="88" t="s">
        <v>1214</v>
      </c>
      <c r="E668" s="162" t="s">
        <v>340</v>
      </c>
      <c r="F668" s="455" t="s">
        <v>308</v>
      </c>
      <c r="G668" s="455"/>
      <c r="H668" s="387">
        <f>H669</f>
        <v>6</v>
      </c>
    </row>
    <row r="669" spans="2:8" s="65" customFormat="1" ht="20.100000000000001" customHeight="1" x14ac:dyDescent="0.25">
      <c r="B669" s="396"/>
      <c r="C669" s="232"/>
      <c r="D669" s="83" t="s">
        <v>205</v>
      </c>
      <c r="E669" s="67" t="s">
        <v>340</v>
      </c>
      <c r="F669" s="461">
        <v>6</v>
      </c>
      <c r="G669" s="462"/>
      <c r="H669" s="402">
        <f>F669</f>
        <v>6</v>
      </c>
    </row>
    <row r="670" spans="2:8" s="65" customFormat="1" ht="20.100000000000001" customHeight="1" x14ac:dyDescent="0.25">
      <c r="B670" s="386" t="s">
        <v>503</v>
      </c>
      <c r="C670" s="163">
        <v>80687</v>
      </c>
      <c r="D670" s="88" t="s">
        <v>1215</v>
      </c>
      <c r="E670" s="162" t="s">
        <v>340</v>
      </c>
      <c r="F670" s="455" t="s">
        <v>308</v>
      </c>
      <c r="G670" s="455"/>
      <c r="H670" s="387">
        <f>SUM(H671:H673)</f>
        <v>3</v>
      </c>
    </row>
    <row r="671" spans="2:8" s="65" customFormat="1" ht="20.100000000000001" customHeight="1" x14ac:dyDescent="0.25">
      <c r="B671" s="465"/>
      <c r="C671" s="466"/>
      <c r="D671" s="83" t="s">
        <v>312</v>
      </c>
      <c r="E671" s="67" t="s">
        <v>340</v>
      </c>
      <c r="F671" s="461">
        <v>1</v>
      </c>
      <c r="G671" s="462"/>
      <c r="H671" s="402">
        <f>F671</f>
        <v>1</v>
      </c>
    </row>
    <row r="672" spans="2:8" s="65" customFormat="1" ht="20.100000000000001" customHeight="1" x14ac:dyDescent="0.25">
      <c r="B672" s="473"/>
      <c r="C672" s="474"/>
      <c r="D672" s="83" t="s">
        <v>136</v>
      </c>
      <c r="E672" s="67" t="s">
        <v>340</v>
      </c>
      <c r="F672" s="461">
        <v>1</v>
      </c>
      <c r="G672" s="462"/>
      <c r="H672" s="402">
        <f t="shared" ref="H672:H673" si="36">F672</f>
        <v>1</v>
      </c>
    </row>
    <row r="673" spans="2:8" s="65" customFormat="1" ht="20.100000000000001" customHeight="1" x14ac:dyDescent="0.25">
      <c r="B673" s="467"/>
      <c r="C673" s="468"/>
      <c r="D673" s="83" t="s">
        <v>284</v>
      </c>
      <c r="E673" s="67" t="s">
        <v>340</v>
      </c>
      <c r="F673" s="461">
        <v>1</v>
      </c>
      <c r="G673" s="462"/>
      <c r="H673" s="402">
        <f t="shared" si="36"/>
        <v>1</v>
      </c>
    </row>
    <row r="674" spans="2:8" s="65" customFormat="1" ht="20.100000000000001" customHeight="1" x14ac:dyDescent="0.25">
      <c r="B674" s="386" t="s">
        <v>504</v>
      </c>
      <c r="C674" s="163">
        <v>80693</v>
      </c>
      <c r="D674" s="88" t="s">
        <v>1216</v>
      </c>
      <c r="E674" s="162" t="s">
        <v>340</v>
      </c>
      <c r="F674" s="455" t="s">
        <v>308</v>
      </c>
      <c r="G674" s="455"/>
      <c r="H674" s="387">
        <f>H675</f>
        <v>1</v>
      </c>
    </row>
    <row r="675" spans="2:8" s="65" customFormat="1" ht="20.100000000000001" customHeight="1" x14ac:dyDescent="0.25">
      <c r="B675" s="396"/>
      <c r="C675" s="232"/>
      <c r="D675" s="83" t="s">
        <v>205</v>
      </c>
      <c r="E675" s="67" t="s">
        <v>340</v>
      </c>
      <c r="F675" s="461">
        <v>1</v>
      </c>
      <c r="G675" s="462"/>
      <c r="H675" s="402">
        <f>F675</f>
        <v>1</v>
      </c>
    </row>
    <row r="676" spans="2:8" s="65" customFormat="1" ht="20.100000000000001" customHeight="1" x14ac:dyDescent="0.25">
      <c r="B676" s="386" t="s">
        <v>505</v>
      </c>
      <c r="C676" s="163">
        <v>80801</v>
      </c>
      <c r="D676" s="88" t="s">
        <v>1217</v>
      </c>
      <c r="E676" s="162" t="s">
        <v>340</v>
      </c>
      <c r="F676" s="455" t="s">
        <v>308</v>
      </c>
      <c r="G676" s="455"/>
      <c r="H676" s="387">
        <f>H677</f>
        <v>1</v>
      </c>
    </row>
    <row r="677" spans="2:8" s="65" customFormat="1" ht="20.100000000000001" customHeight="1" x14ac:dyDescent="0.25">
      <c r="B677" s="396"/>
      <c r="C677" s="232"/>
      <c r="D677" s="83" t="s">
        <v>364</v>
      </c>
      <c r="E677" s="67" t="s">
        <v>340</v>
      </c>
      <c r="F677" s="461">
        <v>1</v>
      </c>
      <c r="G677" s="462"/>
      <c r="H677" s="402">
        <f>F677</f>
        <v>1</v>
      </c>
    </row>
    <row r="678" spans="2:8" s="65" customFormat="1" ht="20.100000000000001" customHeight="1" x14ac:dyDescent="0.25">
      <c r="B678" s="386" t="s">
        <v>82</v>
      </c>
      <c r="C678" s="163">
        <v>80803</v>
      </c>
      <c r="D678" s="88" t="s">
        <v>1218</v>
      </c>
      <c r="E678" s="162" t="s">
        <v>340</v>
      </c>
      <c r="F678" s="455" t="s">
        <v>308</v>
      </c>
      <c r="G678" s="455"/>
      <c r="H678" s="387">
        <f>H679</f>
        <v>1</v>
      </c>
    </row>
    <row r="679" spans="2:8" s="65" customFormat="1" ht="20.100000000000001" customHeight="1" x14ac:dyDescent="0.25">
      <c r="B679" s="396"/>
      <c r="C679" s="232"/>
      <c r="D679" s="83" t="s">
        <v>1219</v>
      </c>
      <c r="E679" s="67" t="s">
        <v>340</v>
      </c>
      <c r="F679" s="461">
        <v>1</v>
      </c>
      <c r="G679" s="462"/>
      <c r="H679" s="402">
        <f>F679</f>
        <v>1</v>
      </c>
    </row>
    <row r="680" spans="2:8" s="65" customFormat="1" ht="20.100000000000001" customHeight="1" x14ac:dyDescent="0.25">
      <c r="B680" s="386" t="s">
        <v>78</v>
      </c>
      <c r="C680" s="163">
        <v>80680</v>
      </c>
      <c r="D680" s="88" t="s">
        <v>1220</v>
      </c>
      <c r="E680" s="162" t="s">
        <v>340</v>
      </c>
      <c r="F680" s="455" t="s">
        <v>308</v>
      </c>
      <c r="G680" s="455"/>
      <c r="H680" s="387">
        <f>SUM(H681:H682)</f>
        <v>8</v>
      </c>
    </row>
    <row r="681" spans="2:8" s="65" customFormat="1" ht="20.100000000000001" customHeight="1" x14ac:dyDescent="0.25">
      <c r="B681" s="465"/>
      <c r="C681" s="466"/>
      <c r="D681" s="83" t="s">
        <v>205</v>
      </c>
      <c r="E681" s="67" t="s">
        <v>340</v>
      </c>
      <c r="F681" s="461">
        <v>7</v>
      </c>
      <c r="G681" s="462"/>
      <c r="H681" s="402">
        <f>F681</f>
        <v>7</v>
      </c>
    </row>
    <row r="682" spans="2:8" s="65" customFormat="1" ht="20.100000000000001" customHeight="1" x14ac:dyDescent="0.25">
      <c r="B682" s="467"/>
      <c r="C682" s="468"/>
      <c r="D682" s="83" t="s">
        <v>312</v>
      </c>
      <c r="E682" s="67" t="s">
        <v>340</v>
      </c>
      <c r="F682" s="461">
        <v>1</v>
      </c>
      <c r="G682" s="462"/>
      <c r="H682" s="402">
        <f>F682</f>
        <v>1</v>
      </c>
    </row>
    <row r="683" spans="2:8" s="65" customFormat="1" ht="20.100000000000001" customHeight="1" x14ac:dyDescent="0.25">
      <c r="B683" s="386" t="s">
        <v>79</v>
      </c>
      <c r="C683" s="163">
        <v>80510</v>
      </c>
      <c r="D683" s="88" t="s">
        <v>1210</v>
      </c>
      <c r="E683" s="162" t="s">
        <v>340</v>
      </c>
      <c r="F683" s="455" t="s">
        <v>308</v>
      </c>
      <c r="G683" s="455"/>
      <c r="H683" s="387">
        <f>SUM(H684:H685)</f>
        <v>6</v>
      </c>
    </row>
    <row r="684" spans="2:8" s="65" customFormat="1" ht="20.100000000000001" customHeight="1" x14ac:dyDescent="0.25">
      <c r="B684" s="465"/>
      <c r="C684" s="466"/>
      <c r="D684" s="83" t="s">
        <v>143</v>
      </c>
      <c r="E684" s="67" t="s">
        <v>340</v>
      </c>
      <c r="F684" s="461">
        <v>3</v>
      </c>
      <c r="G684" s="462"/>
      <c r="H684" s="402">
        <f>F684</f>
        <v>3</v>
      </c>
    </row>
    <row r="685" spans="2:8" s="65" customFormat="1" ht="17.25" customHeight="1" x14ac:dyDescent="0.25">
      <c r="B685" s="467"/>
      <c r="C685" s="468"/>
      <c r="D685" s="83" t="s">
        <v>193</v>
      </c>
      <c r="E685" s="67" t="s">
        <v>340</v>
      </c>
      <c r="F685" s="461">
        <v>3</v>
      </c>
      <c r="G685" s="462"/>
      <c r="H685" s="402">
        <f>F685</f>
        <v>3</v>
      </c>
    </row>
    <row r="686" spans="2:8" s="65" customFormat="1" ht="20.100000000000001" customHeight="1" x14ac:dyDescent="0.25">
      <c r="B686" s="386" t="s">
        <v>80</v>
      </c>
      <c r="C686" s="163">
        <v>80520</v>
      </c>
      <c r="D686" s="88" t="s">
        <v>1234</v>
      </c>
      <c r="E686" s="162" t="s">
        <v>1015</v>
      </c>
      <c r="F686" s="455" t="s">
        <v>308</v>
      </c>
      <c r="G686" s="455"/>
      <c r="H686" s="387">
        <f>SUM(H687:H688)</f>
        <v>6</v>
      </c>
    </row>
    <row r="687" spans="2:8" s="65" customFormat="1" ht="20.100000000000001" customHeight="1" x14ac:dyDescent="0.25">
      <c r="B687" s="465"/>
      <c r="C687" s="466"/>
      <c r="D687" s="83" t="s">
        <v>143</v>
      </c>
      <c r="E687" s="67" t="s">
        <v>1015</v>
      </c>
      <c r="F687" s="461">
        <v>3</v>
      </c>
      <c r="G687" s="462"/>
      <c r="H687" s="402">
        <f>F687</f>
        <v>3</v>
      </c>
    </row>
    <row r="688" spans="2:8" s="65" customFormat="1" ht="20.100000000000001" customHeight="1" x14ac:dyDescent="0.25">
      <c r="B688" s="467"/>
      <c r="C688" s="468"/>
      <c r="D688" s="83" t="s">
        <v>193</v>
      </c>
      <c r="E688" s="67" t="s">
        <v>1015</v>
      </c>
      <c r="F688" s="461">
        <v>3</v>
      </c>
      <c r="G688" s="462"/>
      <c r="H688" s="402">
        <f>F688</f>
        <v>3</v>
      </c>
    </row>
    <row r="689" spans="2:8" s="65" customFormat="1" ht="20.100000000000001" customHeight="1" x14ac:dyDescent="0.25">
      <c r="B689" s="386" t="s">
        <v>81</v>
      </c>
      <c r="C689" s="163">
        <v>81005</v>
      </c>
      <c r="D689" s="144" t="s">
        <v>453</v>
      </c>
      <c r="E689" s="162" t="s">
        <v>29</v>
      </c>
      <c r="F689" s="455" t="s">
        <v>26</v>
      </c>
      <c r="G689" s="455"/>
      <c r="H689" s="387">
        <f>H690</f>
        <v>70.400000000000006</v>
      </c>
    </row>
    <row r="690" spans="2:8" s="65" customFormat="1" ht="20.100000000000001" customHeight="1" x14ac:dyDescent="0.25">
      <c r="B690" s="447"/>
      <c r="C690" s="448"/>
      <c r="D690" s="83" t="s">
        <v>454</v>
      </c>
      <c r="E690" s="67" t="s">
        <v>29</v>
      </c>
      <c r="F690" s="446">
        <v>70.400000000000006</v>
      </c>
      <c r="G690" s="446"/>
      <c r="H690" s="402">
        <f>F690</f>
        <v>70.400000000000006</v>
      </c>
    </row>
    <row r="691" spans="2:8" s="65" customFormat="1" ht="20.100000000000001" customHeight="1" x14ac:dyDescent="0.25">
      <c r="B691" s="386" t="s">
        <v>506</v>
      </c>
      <c r="C691" s="163">
        <v>81004</v>
      </c>
      <c r="D691" s="144" t="s">
        <v>455</v>
      </c>
      <c r="E691" s="162" t="s">
        <v>29</v>
      </c>
      <c r="F691" s="455" t="s">
        <v>26</v>
      </c>
      <c r="G691" s="455"/>
      <c r="H691" s="387">
        <f>H692</f>
        <v>13.74</v>
      </c>
    </row>
    <row r="692" spans="2:8" s="65" customFormat="1" ht="20.100000000000001" customHeight="1" x14ac:dyDescent="0.25">
      <c r="B692" s="447"/>
      <c r="C692" s="448"/>
      <c r="D692" s="83" t="s">
        <v>454</v>
      </c>
      <c r="E692" s="67" t="s">
        <v>29</v>
      </c>
      <c r="F692" s="446">
        <v>13.74</v>
      </c>
      <c r="G692" s="446"/>
      <c r="H692" s="402">
        <f>F692</f>
        <v>13.74</v>
      </c>
    </row>
    <row r="693" spans="2:8" s="65" customFormat="1" ht="20.100000000000001" customHeight="1" x14ac:dyDescent="0.25">
      <c r="B693" s="386" t="s">
        <v>507</v>
      </c>
      <c r="C693" s="163">
        <v>81003</v>
      </c>
      <c r="D693" s="144" t="s">
        <v>456</v>
      </c>
      <c r="E693" s="162" t="s">
        <v>29</v>
      </c>
      <c r="F693" s="455" t="s">
        <v>26</v>
      </c>
      <c r="G693" s="455"/>
      <c r="H693" s="387">
        <f>H694</f>
        <v>52.32</v>
      </c>
    </row>
    <row r="694" spans="2:8" s="65" customFormat="1" ht="20.100000000000001" customHeight="1" x14ac:dyDescent="0.25">
      <c r="B694" s="447"/>
      <c r="C694" s="448"/>
      <c r="D694" s="83" t="s">
        <v>454</v>
      </c>
      <c r="E694" s="67" t="s">
        <v>29</v>
      </c>
      <c r="F694" s="446">
        <f>43.32+7+2</f>
        <v>52.32</v>
      </c>
      <c r="G694" s="446"/>
      <c r="H694" s="402">
        <f>F694</f>
        <v>52.32</v>
      </c>
    </row>
    <row r="695" spans="2:8" s="65" customFormat="1" ht="20.100000000000001" customHeight="1" x14ac:dyDescent="0.25">
      <c r="B695" s="386" t="s">
        <v>508</v>
      </c>
      <c r="C695" s="163">
        <v>80926</v>
      </c>
      <c r="D695" s="144" t="s">
        <v>457</v>
      </c>
      <c r="E695" s="162" t="s">
        <v>340</v>
      </c>
      <c r="F695" s="455" t="s">
        <v>308</v>
      </c>
      <c r="G695" s="455"/>
      <c r="H695" s="387">
        <f>H696</f>
        <v>5</v>
      </c>
    </row>
    <row r="696" spans="2:8" s="65" customFormat="1" ht="20.100000000000001" customHeight="1" x14ac:dyDescent="0.25">
      <c r="B696" s="447"/>
      <c r="C696" s="448"/>
      <c r="D696" s="83" t="s">
        <v>454</v>
      </c>
      <c r="E696" s="67" t="s">
        <v>340</v>
      </c>
      <c r="F696" s="446">
        <v>5</v>
      </c>
      <c r="G696" s="446"/>
      <c r="H696" s="402">
        <f>F696</f>
        <v>5</v>
      </c>
    </row>
    <row r="697" spans="2:8" s="65" customFormat="1" ht="20.100000000000001" customHeight="1" x14ac:dyDescent="0.25">
      <c r="B697" s="386" t="s">
        <v>509</v>
      </c>
      <c r="C697" s="163">
        <v>80946</v>
      </c>
      <c r="D697" s="144" t="s">
        <v>458</v>
      </c>
      <c r="E697" s="162" t="s">
        <v>340</v>
      </c>
      <c r="F697" s="455" t="s">
        <v>308</v>
      </c>
      <c r="G697" s="455"/>
      <c r="H697" s="387">
        <f>H698</f>
        <v>6</v>
      </c>
    </row>
    <row r="698" spans="2:8" s="65" customFormat="1" ht="20.100000000000001" customHeight="1" x14ac:dyDescent="0.25">
      <c r="B698" s="447"/>
      <c r="C698" s="448"/>
      <c r="D698" s="83" t="s">
        <v>454</v>
      </c>
      <c r="E698" s="67" t="s">
        <v>340</v>
      </c>
      <c r="F698" s="446">
        <f>4+2</f>
        <v>6</v>
      </c>
      <c r="G698" s="446"/>
      <c r="H698" s="402">
        <f>F698</f>
        <v>6</v>
      </c>
    </row>
    <row r="699" spans="2:8" s="65" customFormat="1" ht="20.100000000000001" customHeight="1" x14ac:dyDescent="0.25">
      <c r="B699" s="386" t="s">
        <v>510</v>
      </c>
      <c r="C699" s="163">
        <v>81057</v>
      </c>
      <c r="D699" s="144" t="s">
        <v>480</v>
      </c>
      <c r="E699" s="162" t="s">
        <v>340</v>
      </c>
      <c r="F699" s="455" t="s">
        <v>308</v>
      </c>
      <c r="G699" s="455"/>
      <c r="H699" s="387">
        <f>H700</f>
        <v>1</v>
      </c>
    </row>
    <row r="700" spans="2:8" s="65" customFormat="1" ht="20.100000000000001" customHeight="1" x14ac:dyDescent="0.25">
      <c r="B700" s="447"/>
      <c r="C700" s="448"/>
      <c r="D700" s="83" t="s">
        <v>454</v>
      </c>
      <c r="E700" s="67" t="s">
        <v>340</v>
      </c>
      <c r="F700" s="446">
        <v>1</v>
      </c>
      <c r="G700" s="446"/>
      <c r="H700" s="402">
        <f>F700</f>
        <v>1</v>
      </c>
    </row>
    <row r="701" spans="2:8" s="65" customFormat="1" ht="20.100000000000001" customHeight="1" x14ac:dyDescent="0.25">
      <c r="B701" s="386" t="s">
        <v>511</v>
      </c>
      <c r="C701" s="163">
        <v>80905</v>
      </c>
      <c r="D701" s="144" t="s">
        <v>483</v>
      </c>
      <c r="E701" s="162" t="s">
        <v>340</v>
      </c>
      <c r="F701" s="455" t="s">
        <v>308</v>
      </c>
      <c r="G701" s="455"/>
      <c r="H701" s="387">
        <f>H702</f>
        <v>1</v>
      </c>
    </row>
    <row r="702" spans="2:8" s="65" customFormat="1" ht="20.100000000000001" customHeight="1" x14ac:dyDescent="0.25">
      <c r="B702" s="447"/>
      <c r="C702" s="448"/>
      <c r="D702" s="83" t="s">
        <v>454</v>
      </c>
      <c r="E702" s="67" t="s">
        <v>340</v>
      </c>
      <c r="F702" s="446">
        <v>1</v>
      </c>
      <c r="G702" s="446"/>
      <c r="H702" s="403">
        <f>F702</f>
        <v>1</v>
      </c>
    </row>
    <row r="703" spans="2:8" s="65" customFormat="1" ht="31.5" x14ac:dyDescent="0.25">
      <c r="B703" s="386" t="s">
        <v>512</v>
      </c>
      <c r="C703" s="163" t="s">
        <v>494</v>
      </c>
      <c r="D703" s="88" t="s">
        <v>492</v>
      </c>
      <c r="E703" s="162" t="s">
        <v>340</v>
      </c>
      <c r="F703" s="455" t="s">
        <v>308</v>
      </c>
      <c r="G703" s="455"/>
      <c r="H703" s="387">
        <f>H704</f>
        <v>2</v>
      </c>
    </row>
    <row r="704" spans="2:8" s="65" customFormat="1" ht="20.100000000000001" customHeight="1" x14ac:dyDescent="0.25">
      <c r="B704" s="447"/>
      <c r="C704" s="448"/>
      <c r="D704" s="83" t="s">
        <v>454</v>
      </c>
      <c r="E704" s="67" t="s">
        <v>340</v>
      </c>
      <c r="F704" s="446">
        <v>2</v>
      </c>
      <c r="G704" s="446"/>
      <c r="H704" s="403">
        <f>F704</f>
        <v>2</v>
      </c>
    </row>
    <row r="705" spans="1:8" s="65" customFormat="1" ht="20.100000000000001" customHeight="1" x14ac:dyDescent="0.25">
      <c r="B705" s="386" t="s">
        <v>513</v>
      </c>
      <c r="C705" s="163">
        <v>81701</v>
      </c>
      <c r="D705" s="144" t="s">
        <v>484</v>
      </c>
      <c r="E705" s="162" t="s">
        <v>340</v>
      </c>
      <c r="F705" s="455"/>
      <c r="G705" s="455"/>
      <c r="H705" s="387">
        <f>H706</f>
        <v>1</v>
      </c>
    </row>
    <row r="706" spans="1:8" s="65" customFormat="1" ht="20.100000000000001" customHeight="1" x14ac:dyDescent="0.25">
      <c r="B706" s="447"/>
      <c r="C706" s="448"/>
      <c r="D706" s="83" t="s">
        <v>454</v>
      </c>
      <c r="E706" s="67" t="s">
        <v>340</v>
      </c>
      <c r="F706" s="446">
        <v>1</v>
      </c>
      <c r="G706" s="446"/>
      <c r="H706" s="402">
        <f>F706</f>
        <v>1</v>
      </c>
    </row>
    <row r="707" spans="1:8" s="65" customFormat="1" ht="20.100000000000001" customHeight="1" x14ac:dyDescent="0.25">
      <c r="B707" s="386" t="s">
        <v>514</v>
      </c>
      <c r="C707" s="163">
        <v>81323</v>
      </c>
      <c r="D707" s="144" t="s">
        <v>481</v>
      </c>
      <c r="E707" s="162" t="s">
        <v>340</v>
      </c>
      <c r="F707" s="455" t="s">
        <v>308</v>
      </c>
      <c r="G707" s="455"/>
      <c r="H707" s="387">
        <f>H708</f>
        <v>2</v>
      </c>
    </row>
    <row r="708" spans="1:8" s="65" customFormat="1" ht="20.100000000000001" customHeight="1" x14ac:dyDescent="0.25">
      <c r="B708" s="447"/>
      <c r="C708" s="448"/>
      <c r="D708" s="83" t="s">
        <v>454</v>
      </c>
      <c r="E708" s="67" t="s">
        <v>340</v>
      </c>
      <c r="F708" s="446">
        <v>2</v>
      </c>
      <c r="G708" s="446"/>
      <c r="H708" s="402">
        <f>F708</f>
        <v>2</v>
      </c>
    </row>
    <row r="709" spans="1:8" s="65" customFormat="1" ht="20.100000000000001" customHeight="1" x14ac:dyDescent="0.25">
      <c r="B709" s="386" t="s">
        <v>538</v>
      </c>
      <c r="C709" s="163">
        <v>81422</v>
      </c>
      <c r="D709" s="144" t="s">
        <v>482</v>
      </c>
      <c r="E709" s="162" t="s">
        <v>340</v>
      </c>
      <c r="F709" s="455" t="s">
        <v>308</v>
      </c>
      <c r="G709" s="455"/>
      <c r="H709" s="387">
        <f>H710</f>
        <v>2</v>
      </c>
    </row>
    <row r="710" spans="1:8" s="65" customFormat="1" ht="20.100000000000001" customHeight="1" x14ac:dyDescent="0.25">
      <c r="B710" s="447"/>
      <c r="C710" s="448"/>
      <c r="D710" s="83" t="s">
        <v>454</v>
      </c>
      <c r="E710" s="67" t="s">
        <v>340</v>
      </c>
      <c r="F710" s="446">
        <v>2</v>
      </c>
      <c r="G710" s="446"/>
      <c r="H710" s="402">
        <f>F710</f>
        <v>2</v>
      </c>
    </row>
    <row r="711" spans="1:8" s="65" customFormat="1" ht="20.100000000000001" customHeight="1" x14ac:dyDescent="0.25">
      <c r="B711" s="386" t="s">
        <v>539</v>
      </c>
      <c r="C711" s="163">
        <v>81340</v>
      </c>
      <c r="D711" s="144" t="s">
        <v>485</v>
      </c>
      <c r="E711" s="162" t="s">
        <v>340</v>
      </c>
      <c r="F711" s="455" t="s">
        <v>308</v>
      </c>
      <c r="G711" s="455"/>
      <c r="H711" s="387">
        <f>H712</f>
        <v>1</v>
      </c>
    </row>
    <row r="712" spans="1:8" s="65" customFormat="1" ht="15" x14ac:dyDescent="0.25">
      <c r="B712" s="447"/>
      <c r="C712" s="448"/>
      <c r="D712" s="83" t="s">
        <v>454</v>
      </c>
      <c r="E712" s="67" t="s">
        <v>340</v>
      </c>
      <c r="F712" s="446">
        <v>1</v>
      </c>
      <c r="G712" s="446"/>
      <c r="H712" s="402">
        <f>F712</f>
        <v>1</v>
      </c>
    </row>
    <row r="713" spans="1:8" s="137" customFormat="1" ht="31.5" x14ac:dyDescent="0.25">
      <c r="A713" s="65"/>
      <c r="B713" s="386" t="s">
        <v>540</v>
      </c>
      <c r="C713" s="163" t="s">
        <v>495</v>
      </c>
      <c r="D713" s="88" t="s">
        <v>493</v>
      </c>
      <c r="E713" s="162" t="s">
        <v>340</v>
      </c>
      <c r="F713" s="455" t="s">
        <v>308</v>
      </c>
      <c r="G713" s="455"/>
      <c r="H713" s="387">
        <f>H714</f>
        <v>24</v>
      </c>
    </row>
    <row r="714" spans="1:8" s="65" customFormat="1" ht="20.100000000000001" customHeight="1" x14ac:dyDescent="0.25">
      <c r="B714" s="447"/>
      <c r="C714" s="448"/>
      <c r="D714" s="83" t="s">
        <v>454</v>
      </c>
      <c r="E714" s="67" t="s">
        <v>340</v>
      </c>
      <c r="F714" s="446">
        <v>24</v>
      </c>
      <c r="G714" s="446"/>
      <c r="H714" s="402">
        <f>F714</f>
        <v>24</v>
      </c>
    </row>
    <row r="715" spans="1:8" s="65" customFormat="1" ht="20.100000000000001" customHeight="1" x14ac:dyDescent="0.25">
      <c r="A715" s="69"/>
      <c r="B715" s="386" t="s">
        <v>541</v>
      </c>
      <c r="C715" s="163">
        <v>81351</v>
      </c>
      <c r="D715" s="144" t="s">
        <v>486</v>
      </c>
      <c r="E715" s="162" t="s">
        <v>340</v>
      </c>
      <c r="F715" s="455" t="s">
        <v>308</v>
      </c>
      <c r="G715" s="455"/>
      <c r="H715" s="387">
        <f>H716</f>
        <v>11</v>
      </c>
    </row>
    <row r="716" spans="1:8" s="65" customFormat="1" ht="20.100000000000001" customHeight="1" x14ac:dyDescent="0.25">
      <c r="A716" s="137"/>
      <c r="B716" s="447"/>
      <c r="C716" s="448"/>
      <c r="D716" s="83" t="s">
        <v>454</v>
      </c>
      <c r="E716" s="67" t="s">
        <v>340</v>
      </c>
      <c r="F716" s="446">
        <f>9+2</f>
        <v>11</v>
      </c>
      <c r="G716" s="446"/>
      <c r="H716" s="402">
        <f>F716</f>
        <v>11</v>
      </c>
    </row>
    <row r="717" spans="1:8" s="65" customFormat="1" ht="20.100000000000001" customHeight="1" x14ac:dyDescent="0.25">
      <c r="B717" s="386" t="s">
        <v>542</v>
      </c>
      <c r="C717" s="163">
        <v>81464</v>
      </c>
      <c r="D717" s="144" t="s">
        <v>487</v>
      </c>
      <c r="E717" s="162" t="s">
        <v>340</v>
      </c>
      <c r="F717" s="455" t="s">
        <v>308</v>
      </c>
      <c r="G717" s="455"/>
      <c r="H717" s="387">
        <f>H718</f>
        <v>22</v>
      </c>
    </row>
    <row r="718" spans="1:8" s="65" customFormat="1" ht="20.100000000000001" customHeight="1" x14ac:dyDescent="0.25">
      <c r="B718" s="447"/>
      <c r="C718" s="448"/>
      <c r="D718" s="83" t="s">
        <v>454</v>
      </c>
      <c r="E718" s="67" t="s">
        <v>340</v>
      </c>
      <c r="F718" s="446">
        <v>22</v>
      </c>
      <c r="G718" s="446"/>
      <c r="H718" s="402">
        <f>F718</f>
        <v>22</v>
      </c>
    </row>
    <row r="719" spans="1:8" s="65" customFormat="1" ht="20.100000000000001" customHeight="1" x14ac:dyDescent="0.25">
      <c r="B719" s="386" t="s">
        <v>543</v>
      </c>
      <c r="C719" s="163">
        <v>81421</v>
      </c>
      <c r="D719" s="144" t="s">
        <v>488</v>
      </c>
      <c r="E719" s="162" t="s">
        <v>340</v>
      </c>
      <c r="F719" s="455" t="s">
        <v>308</v>
      </c>
      <c r="G719" s="455"/>
      <c r="H719" s="387">
        <f>H720</f>
        <v>2</v>
      </c>
    </row>
    <row r="720" spans="1:8" s="65" customFormat="1" ht="20.100000000000001" customHeight="1" x14ac:dyDescent="0.25">
      <c r="B720" s="447"/>
      <c r="C720" s="448"/>
      <c r="D720" s="83" t="s">
        <v>454</v>
      </c>
      <c r="E720" s="67" t="s">
        <v>340</v>
      </c>
      <c r="F720" s="446">
        <v>2</v>
      </c>
      <c r="G720" s="446"/>
      <c r="H720" s="402">
        <f>F720</f>
        <v>2</v>
      </c>
    </row>
    <row r="721" spans="1:8" s="65" customFormat="1" ht="20.100000000000001" customHeight="1" x14ac:dyDescent="0.25">
      <c r="B721" s="386" t="s">
        <v>544</v>
      </c>
      <c r="C721" s="163">
        <v>81321</v>
      </c>
      <c r="D721" s="144" t="s">
        <v>489</v>
      </c>
      <c r="E721" s="162" t="s">
        <v>340</v>
      </c>
      <c r="F721" s="455" t="s">
        <v>308</v>
      </c>
      <c r="G721" s="455"/>
      <c r="H721" s="387">
        <f>H722</f>
        <v>9</v>
      </c>
    </row>
    <row r="722" spans="1:8" s="65" customFormat="1" ht="18" customHeight="1" x14ac:dyDescent="0.25">
      <c r="B722" s="447"/>
      <c r="C722" s="448"/>
      <c r="D722" s="83" t="s">
        <v>454</v>
      </c>
      <c r="E722" s="67" t="s">
        <v>340</v>
      </c>
      <c r="F722" s="446">
        <f>5+4</f>
        <v>9</v>
      </c>
      <c r="G722" s="446"/>
      <c r="H722" s="402">
        <f>F722</f>
        <v>9</v>
      </c>
    </row>
    <row r="723" spans="1:8" s="65" customFormat="1" ht="20.100000000000001" customHeight="1" x14ac:dyDescent="0.25">
      <c r="B723" s="386" t="s">
        <v>545</v>
      </c>
      <c r="C723" s="163">
        <v>81402</v>
      </c>
      <c r="D723" s="144" t="s">
        <v>490</v>
      </c>
      <c r="E723" s="162" t="s">
        <v>340</v>
      </c>
      <c r="F723" s="455" t="s">
        <v>308</v>
      </c>
      <c r="G723" s="455"/>
      <c r="H723" s="387">
        <f>H724</f>
        <v>15</v>
      </c>
    </row>
    <row r="724" spans="1:8" s="65" customFormat="1" ht="20.100000000000001" customHeight="1" x14ac:dyDescent="0.25">
      <c r="B724" s="447"/>
      <c r="C724" s="448"/>
      <c r="D724" s="83" t="s">
        <v>454</v>
      </c>
      <c r="E724" s="67" t="s">
        <v>340</v>
      </c>
      <c r="F724" s="446">
        <f>2+9+4</f>
        <v>15</v>
      </c>
      <c r="G724" s="446"/>
      <c r="H724" s="402">
        <f>F724</f>
        <v>15</v>
      </c>
    </row>
    <row r="725" spans="1:8" s="65" customFormat="1" ht="20.100000000000001" customHeight="1" x14ac:dyDescent="0.25">
      <c r="A725" s="69"/>
      <c r="B725" s="386" t="s">
        <v>546</v>
      </c>
      <c r="C725" s="163">
        <v>81361</v>
      </c>
      <c r="D725" s="144" t="s">
        <v>491</v>
      </c>
      <c r="E725" s="162" t="s">
        <v>340</v>
      </c>
      <c r="F725" s="455" t="s">
        <v>308</v>
      </c>
      <c r="G725" s="455"/>
      <c r="H725" s="387">
        <f>H726</f>
        <v>12</v>
      </c>
    </row>
    <row r="726" spans="1:8" s="65" customFormat="1" ht="20.100000000000001" customHeight="1" x14ac:dyDescent="0.25">
      <c r="B726" s="447"/>
      <c r="C726" s="448"/>
      <c r="D726" s="83" t="s">
        <v>454</v>
      </c>
      <c r="E726" s="67" t="s">
        <v>340</v>
      </c>
      <c r="F726" s="446">
        <v>12</v>
      </c>
      <c r="G726" s="446"/>
      <c r="H726" s="402">
        <f>F726</f>
        <v>12</v>
      </c>
    </row>
    <row r="727" spans="1:8" s="65" customFormat="1" ht="20.100000000000001" customHeight="1" x14ac:dyDescent="0.25">
      <c r="B727" s="386" t="s">
        <v>547</v>
      </c>
      <c r="C727" s="163" t="s">
        <v>497</v>
      </c>
      <c r="D727" s="144" t="s">
        <v>496</v>
      </c>
      <c r="E727" s="162" t="s">
        <v>340</v>
      </c>
      <c r="F727" s="455" t="s">
        <v>308</v>
      </c>
      <c r="G727" s="455"/>
      <c r="H727" s="387">
        <f>H728</f>
        <v>1</v>
      </c>
    </row>
    <row r="728" spans="1:8" s="65" customFormat="1" ht="20.100000000000001" customHeight="1" x14ac:dyDescent="0.25">
      <c r="B728" s="447"/>
      <c r="C728" s="448"/>
      <c r="D728" s="83" t="s">
        <v>454</v>
      </c>
      <c r="E728" s="67" t="s">
        <v>340</v>
      </c>
      <c r="F728" s="446">
        <v>1</v>
      </c>
      <c r="G728" s="446"/>
      <c r="H728" s="402">
        <f>F728</f>
        <v>1</v>
      </c>
    </row>
    <row r="729" spans="1:8" s="65" customFormat="1" ht="20.100000000000001" customHeight="1" x14ac:dyDescent="0.25">
      <c r="B729" s="386" t="s">
        <v>548</v>
      </c>
      <c r="C729" s="163">
        <v>81322</v>
      </c>
      <c r="D729" s="144" t="s">
        <v>498</v>
      </c>
      <c r="E729" s="162" t="s">
        <v>340</v>
      </c>
      <c r="F729" s="455" t="s">
        <v>308</v>
      </c>
      <c r="G729" s="455"/>
      <c r="H729" s="387">
        <f>H730</f>
        <v>1</v>
      </c>
    </row>
    <row r="730" spans="1:8" s="65" customFormat="1" ht="20.100000000000001" customHeight="1" x14ac:dyDescent="0.25">
      <c r="B730" s="447"/>
      <c r="C730" s="448"/>
      <c r="D730" s="83" t="s">
        <v>454</v>
      </c>
      <c r="E730" s="67" t="s">
        <v>340</v>
      </c>
      <c r="F730" s="482">
        <v>1</v>
      </c>
      <c r="G730" s="482"/>
      <c r="H730" s="391">
        <f>F730</f>
        <v>1</v>
      </c>
    </row>
    <row r="731" spans="1:8" s="65" customFormat="1" ht="20.100000000000001" customHeight="1" x14ac:dyDescent="0.25">
      <c r="B731" s="386" t="s">
        <v>549</v>
      </c>
      <c r="C731" s="163">
        <v>81066</v>
      </c>
      <c r="D731" s="144" t="s">
        <v>536</v>
      </c>
      <c r="E731" s="162" t="s">
        <v>340</v>
      </c>
      <c r="F731" s="455" t="s">
        <v>308</v>
      </c>
      <c r="G731" s="455"/>
      <c r="H731" s="387">
        <f>H732</f>
        <v>1</v>
      </c>
    </row>
    <row r="732" spans="1:8" s="65" customFormat="1" ht="20.100000000000001" customHeight="1" x14ac:dyDescent="0.25">
      <c r="B732" s="447"/>
      <c r="C732" s="448"/>
      <c r="D732" s="83" t="s">
        <v>454</v>
      </c>
      <c r="E732" s="67" t="s">
        <v>340</v>
      </c>
      <c r="F732" s="446">
        <v>1</v>
      </c>
      <c r="G732" s="446"/>
      <c r="H732" s="402">
        <f>F732</f>
        <v>1</v>
      </c>
    </row>
    <row r="733" spans="1:8" s="65" customFormat="1" ht="20.100000000000001" customHeight="1" x14ac:dyDescent="0.25">
      <c r="B733" s="386" t="s">
        <v>550</v>
      </c>
      <c r="C733" s="163">
        <v>80725</v>
      </c>
      <c r="D733" s="144" t="s">
        <v>1151</v>
      </c>
      <c r="E733" s="162" t="s">
        <v>340</v>
      </c>
      <c r="F733" s="455" t="s">
        <v>308</v>
      </c>
      <c r="G733" s="455"/>
      <c r="H733" s="387">
        <f>H734</f>
        <v>2</v>
      </c>
    </row>
    <row r="734" spans="1:8" s="65" customFormat="1" ht="20.100000000000001" customHeight="1" x14ac:dyDescent="0.25">
      <c r="B734" s="404"/>
      <c r="C734" s="328"/>
      <c r="D734" s="83" t="s">
        <v>454</v>
      </c>
      <c r="E734" s="67" t="s">
        <v>340</v>
      </c>
      <c r="F734" s="554">
        <v>2</v>
      </c>
      <c r="G734" s="462"/>
      <c r="H734" s="402">
        <f>F734</f>
        <v>2</v>
      </c>
    </row>
    <row r="735" spans="1:8" s="65" customFormat="1" ht="20.100000000000001" customHeight="1" x14ac:dyDescent="0.25">
      <c r="B735" s="386" t="s">
        <v>551</v>
      </c>
      <c r="C735" s="163" t="s">
        <v>1235</v>
      </c>
      <c r="D735" s="144" t="s">
        <v>1236</v>
      </c>
      <c r="E735" s="162" t="s">
        <v>340</v>
      </c>
      <c r="F735" s="455" t="s">
        <v>308</v>
      </c>
      <c r="G735" s="455"/>
      <c r="H735" s="387">
        <f>SUM(H736:H737)</f>
        <v>4</v>
      </c>
    </row>
    <row r="736" spans="1:8" s="65" customFormat="1" ht="20.100000000000001" customHeight="1" x14ac:dyDescent="0.25">
      <c r="B736" s="465"/>
      <c r="C736" s="466"/>
      <c r="D736" s="83" t="s">
        <v>315</v>
      </c>
      <c r="E736" s="67" t="s">
        <v>340</v>
      </c>
      <c r="F736" s="446">
        <v>2</v>
      </c>
      <c r="G736" s="446"/>
      <c r="H736" s="402">
        <f>F736</f>
        <v>2</v>
      </c>
    </row>
    <row r="737" spans="1:8" s="65" customFormat="1" ht="20.100000000000001" customHeight="1" x14ac:dyDescent="0.25">
      <c r="B737" s="467"/>
      <c r="C737" s="468"/>
      <c r="D737" s="83" t="s">
        <v>316</v>
      </c>
      <c r="E737" s="67" t="s">
        <v>340</v>
      </c>
      <c r="F737" s="446">
        <v>2</v>
      </c>
      <c r="G737" s="446"/>
      <c r="H737" s="402">
        <f>F737</f>
        <v>2</v>
      </c>
    </row>
    <row r="738" spans="1:8" s="65" customFormat="1" ht="20.100000000000001" customHeight="1" x14ac:dyDescent="0.25">
      <c r="B738" s="551" t="s">
        <v>475</v>
      </c>
      <c r="C738" s="552"/>
      <c r="D738" s="552"/>
      <c r="E738" s="552"/>
      <c r="F738" s="552"/>
      <c r="G738" s="553"/>
      <c r="H738" s="405" t="s">
        <v>6</v>
      </c>
    </row>
    <row r="739" spans="1:8" s="65" customFormat="1" ht="20.100000000000001" customHeight="1" x14ac:dyDescent="0.25">
      <c r="B739" s="386" t="s">
        <v>552</v>
      </c>
      <c r="C739" s="163">
        <v>82301</v>
      </c>
      <c r="D739" s="144" t="s">
        <v>476</v>
      </c>
      <c r="E739" s="162" t="s">
        <v>29</v>
      </c>
      <c r="F739" s="455" t="s">
        <v>26</v>
      </c>
      <c r="G739" s="455"/>
      <c r="H739" s="387">
        <f>H740</f>
        <v>58.892000000000003</v>
      </c>
    </row>
    <row r="740" spans="1:8" s="65" customFormat="1" ht="20.100000000000001" customHeight="1" x14ac:dyDescent="0.25">
      <c r="B740" s="447"/>
      <c r="C740" s="448"/>
      <c r="D740" s="83" t="s">
        <v>454</v>
      </c>
      <c r="E740" s="67" t="s">
        <v>29</v>
      </c>
      <c r="F740" s="446">
        <f>0.31+0.31+0.31+1.5+3.52+3.45+0.95+2.68+0.31+0.31+0.31+1.5+2.41+3.46+1+2.23+0.3+3.55+0.6+2+1.02+1+0.83+0.86+1.068+0.31+0.86+1.068+0.316+4.96+0.12+4.97+2.07+0.6+6.09-7.27+8.51+2.5-2</f>
        <v>58.892000000000003</v>
      </c>
      <c r="G740" s="446"/>
      <c r="H740" s="402">
        <f>F740</f>
        <v>58.892000000000003</v>
      </c>
    </row>
    <row r="741" spans="1:8" s="65" customFormat="1" ht="20.100000000000001" customHeight="1" x14ac:dyDescent="0.25">
      <c r="B741" s="386" t="s">
        <v>553</v>
      </c>
      <c r="C741" s="163">
        <v>82302</v>
      </c>
      <c r="D741" s="144" t="s">
        <v>477</v>
      </c>
      <c r="E741" s="162" t="s">
        <v>29</v>
      </c>
      <c r="F741" s="455" t="s">
        <v>308</v>
      </c>
      <c r="G741" s="455"/>
      <c r="H741" s="387">
        <f>H742</f>
        <v>30</v>
      </c>
    </row>
    <row r="742" spans="1:8" s="65" customFormat="1" ht="20.100000000000001" customHeight="1" x14ac:dyDescent="0.25">
      <c r="B742" s="447"/>
      <c r="C742" s="448"/>
      <c r="D742" s="83" t="s">
        <v>454</v>
      </c>
      <c r="E742" s="67" t="s">
        <v>29</v>
      </c>
      <c r="F742" s="446">
        <v>30</v>
      </c>
      <c r="G742" s="446"/>
      <c r="H742" s="402">
        <f>F742</f>
        <v>30</v>
      </c>
    </row>
    <row r="743" spans="1:8" s="65" customFormat="1" ht="20.100000000000001" customHeight="1" x14ac:dyDescent="0.25">
      <c r="B743" s="386" t="s">
        <v>554</v>
      </c>
      <c r="C743" s="163">
        <v>82303</v>
      </c>
      <c r="D743" s="144" t="s">
        <v>478</v>
      </c>
      <c r="E743" s="162" t="s">
        <v>29</v>
      </c>
      <c r="F743" s="455" t="s">
        <v>308</v>
      </c>
      <c r="G743" s="455"/>
      <c r="H743" s="387">
        <f>H744</f>
        <v>3.3899999999999997</v>
      </c>
    </row>
    <row r="744" spans="1:8" s="69" customFormat="1" ht="20.100000000000001" customHeight="1" x14ac:dyDescent="0.25">
      <c r="B744" s="447"/>
      <c r="C744" s="448"/>
      <c r="D744" s="83" t="s">
        <v>454</v>
      </c>
      <c r="E744" s="67" t="s">
        <v>29</v>
      </c>
      <c r="F744" s="446">
        <f>1.22+0.47+1.2+0.5</f>
        <v>3.3899999999999997</v>
      </c>
      <c r="G744" s="446"/>
      <c r="H744" s="402">
        <f>F744</f>
        <v>3.3899999999999997</v>
      </c>
    </row>
    <row r="745" spans="1:8" s="65" customFormat="1" ht="20.100000000000001" customHeight="1" x14ac:dyDescent="0.25">
      <c r="A745" s="69"/>
      <c r="B745" s="386" t="s">
        <v>555</v>
      </c>
      <c r="C745" s="163">
        <v>82304</v>
      </c>
      <c r="D745" s="144" t="s">
        <v>479</v>
      </c>
      <c r="E745" s="162" t="s">
        <v>29</v>
      </c>
      <c r="F745" s="455" t="s">
        <v>308</v>
      </c>
      <c r="G745" s="455"/>
      <c r="H745" s="387">
        <f>H746</f>
        <v>60.389000000000003</v>
      </c>
    </row>
    <row r="746" spans="1:8" s="65" customFormat="1" ht="20.100000000000001" customHeight="1" x14ac:dyDescent="0.25">
      <c r="A746" s="69"/>
      <c r="B746" s="447"/>
      <c r="C746" s="448"/>
      <c r="D746" s="83" t="s">
        <v>454</v>
      </c>
      <c r="E746" s="67" t="s">
        <v>29</v>
      </c>
      <c r="F746" s="446">
        <f>2.4+1.05+9.4+2.43+1.064+21.35+14.195+8.5</f>
        <v>60.389000000000003</v>
      </c>
      <c r="G746" s="446"/>
      <c r="H746" s="402">
        <f>F746</f>
        <v>60.389000000000003</v>
      </c>
    </row>
    <row r="747" spans="1:8" s="65" customFormat="1" ht="20.100000000000001" customHeight="1" x14ac:dyDescent="0.25">
      <c r="A747" s="69"/>
      <c r="B747" s="386" t="s">
        <v>556</v>
      </c>
      <c r="C747" s="163">
        <v>81825</v>
      </c>
      <c r="D747" s="144" t="s">
        <v>517</v>
      </c>
      <c r="E747" s="162" t="s">
        <v>340</v>
      </c>
      <c r="F747" s="455" t="s">
        <v>308</v>
      </c>
      <c r="G747" s="455"/>
      <c r="H747" s="387">
        <f>H748</f>
        <v>5</v>
      </c>
    </row>
    <row r="748" spans="1:8" s="65" customFormat="1" ht="20.100000000000001" customHeight="1" x14ac:dyDescent="0.25">
      <c r="A748" s="69"/>
      <c r="B748" s="447"/>
      <c r="C748" s="448"/>
      <c r="D748" s="83" t="s">
        <v>454</v>
      </c>
      <c r="E748" s="67" t="s">
        <v>340</v>
      </c>
      <c r="F748" s="446">
        <v>5</v>
      </c>
      <c r="G748" s="446"/>
      <c r="H748" s="402">
        <f>F748</f>
        <v>5</v>
      </c>
    </row>
    <row r="749" spans="1:8" s="65" customFormat="1" ht="20.100000000000001" customHeight="1" x14ac:dyDescent="0.25">
      <c r="B749" s="386" t="s">
        <v>557</v>
      </c>
      <c r="C749" s="163">
        <v>81826</v>
      </c>
      <c r="D749" s="144" t="s">
        <v>518</v>
      </c>
      <c r="E749" s="162" t="s">
        <v>340</v>
      </c>
      <c r="F749" s="455" t="s">
        <v>308</v>
      </c>
      <c r="G749" s="455"/>
      <c r="H749" s="387">
        <f>H750</f>
        <v>5</v>
      </c>
    </row>
    <row r="750" spans="1:8" s="65" customFormat="1" ht="20.100000000000001" customHeight="1" x14ac:dyDescent="0.25">
      <c r="B750" s="447"/>
      <c r="C750" s="448"/>
      <c r="D750" s="83" t="s">
        <v>454</v>
      </c>
      <c r="E750" s="67" t="s">
        <v>340</v>
      </c>
      <c r="F750" s="446">
        <v>5</v>
      </c>
      <c r="G750" s="446"/>
      <c r="H750" s="402">
        <f>F750</f>
        <v>5</v>
      </c>
    </row>
    <row r="751" spans="1:8" s="65" customFormat="1" ht="31.5" x14ac:dyDescent="0.25">
      <c r="B751" s="386" t="s">
        <v>558</v>
      </c>
      <c r="C751" s="163">
        <v>81846</v>
      </c>
      <c r="D751" s="88" t="s">
        <v>519</v>
      </c>
      <c r="E751" s="162" t="s">
        <v>340</v>
      </c>
      <c r="F751" s="455" t="s">
        <v>308</v>
      </c>
      <c r="G751" s="455"/>
      <c r="H751" s="387">
        <v>4</v>
      </c>
    </row>
    <row r="752" spans="1:8" s="65" customFormat="1" ht="20.100000000000001" customHeight="1" x14ac:dyDescent="0.25">
      <c r="B752" s="447"/>
      <c r="C752" s="448"/>
      <c r="D752" s="83" t="s">
        <v>454</v>
      </c>
      <c r="E752" s="67" t="s">
        <v>340</v>
      </c>
      <c r="F752" s="446">
        <v>4</v>
      </c>
      <c r="G752" s="446"/>
      <c r="H752" s="402">
        <v>4</v>
      </c>
    </row>
    <row r="753" spans="2:8" s="65" customFormat="1" ht="20.100000000000001" customHeight="1" x14ac:dyDescent="0.25">
      <c r="B753" s="386" t="s">
        <v>559</v>
      </c>
      <c r="C753" s="163" t="s">
        <v>723</v>
      </c>
      <c r="D753" s="88" t="s">
        <v>537</v>
      </c>
      <c r="E753" s="162" t="s">
        <v>340</v>
      </c>
      <c r="F753" s="455" t="s">
        <v>308</v>
      </c>
      <c r="G753" s="455"/>
      <c r="H753" s="387">
        <f>H754</f>
        <v>3</v>
      </c>
    </row>
    <row r="754" spans="2:8" s="65" customFormat="1" ht="20.100000000000001" customHeight="1" x14ac:dyDescent="0.25">
      <c r="B754" s="447"/>
      <c r="C754" s="448"/>
      <c r="D754" s="83" t="s">
        <v>454</v>
      </c>
      <c r="E754" s="67" t="s">
        <v>340</v>
      </c>
      <c r="F754" s="446">
        <v>3</v>
      </c>
      <c r="G754" s="446"/>
      <c r="H754" s="402">
        <f>F754</f>
        <v>3</v>
      </c>
    </row>
    <row r="755" spans="2:8" s="65" customFormat="1" ht="20.100000000000001" customHeight="1" x14ac:dyDescent="0.25">
      <c r="B755" s="386" t="s">
        <v>560</v>
      </c>
      <c r="C755" s="163">
        <v>81935</v>
      </c>
      <c r="D755" s="144" t="s">
        <v>481</v>
      </c>
      <c r="E755" s="162" t="s">
        <v>340</v>
      </c>
      <c r="F755" s="455" t="s">
        <v>308</v>
      </c>
      <c r="G755" s="455"/>
      <c r="H755" s="387">
        <f>H756</f>
        <v>32</v>
      </c>
    </row>
    <row r="756" spans="2:8" s="65" customFormat="1" ht="20.100000000000001" customHeight="1" x14ac:dyDescent="0.25">
      <c r="B756" s="447"/>
      <c r="C756" s="448"/>
      <c r="D756" s="83" t="s">
        <v>454</v>
      </c>
      <c r="E756" s="67" t="s">
        <v>340</v>
      </c>
      <c r="F756" s="446">
        <f>10+2+2+3+4+4+2+1+1+3</f>
        <v>32</v>
      </c>
      <c r="G756" s="446"/>
      <c r="H756" s="402">
        <f>F756</f>
        <v>32</v>
      </c>
    </row>
    <row r="757" spans="2:8" s="65" customFormat="1" ht="20.100000000000001" customHeight="1" x14ac:dyDescent="0.25">
      <c r="B757" s="386" t="s">
        <v>561</v>
      </c>
      <c r="C757" s="163">
        <v>82201</v>
      </c>
      <c r="D757" s="144" t="s">
        <v>520</v>
      </c>
      <c r="E757" s="162" t="s">
        <v>340</v>
      </c>
      <c r="F757" s="455" t="s">
        <v>308</v>
      </c>
      <c r="G757" s="455"/>
      <c r="H757" s="387">
        <f>H758</f>
        <v>5</v>
      </c>
    </row>
    <row r="758" spans="2:8" s="65" customFormat="1" ht="20.100000000000001" customHeight="1" x14ac:dyDescent="0.25">
      <c r="B758" s="447"/>
      <c r="C758" s="448"/>
      <c r="D758" s="83" t="s">
        <v>454</v>
      </c>
      <c r="E758" s="67" t="s">
        <v>340</v>
      </c>
      <c r="F758" s="446">
        <v>5</v>
      </c>
      <c r="G758" s="446"/>
      <c r="H758" s="402">
        <f>F758</f>
        <v>5</v>
      </c>
    </row>
    <row r="759" spans="2:8" s="65" customFormat="1" ht="20.100000000000001" customHeight="1" x14ac:dyDescent="0.25">
      <c r="B759" s="386" t="s">
        <v>681</v>
      </c>
      <c r="C759" s="162">
        <v>81661</v>
      </c>
      <c r="D759" s="144" t="s">
        <v>522</v>
      </c>
      <c r="E759" s="162" t="s">
        <v>340</v>
      </c>
      <c r="F759" s="455" t="s">
        <v>308</v>
      </c>
      <c r="G759" s="455"/>
      <c r="H759" s="387">
        <f>H760</f>
        <v>4</v>
      </c>
    </row>
    <row r="760" spans="2:8" s="65" customFormat="1" ht="15" x14ac:dyDescent="0.25">
      <c r="B760" s="447"/>
      <c r="C760" s="448"/>
      <c r="D760" s="83" t="s">
        <v>454</v>
      </c>
      <c r="E760" s="67" t="s">
        <v>340</v>
      </c>
      <c r="F760" s="446">
        <v>4</v>
      </c>
      <c r="G760" s="446"/>
      <c r="H760" s="402">
        <f>F760</f>
        <v>4</v>
      </c>
    </row>
    <row r="761" spans="2:8" s="65" customFormat="1" ht="20.100000000000001" customHeight="1" x14ac:dyDescent="0.25">
      <c r="B761" s="386" t="s">
        <v>682</v>
      </c>
      <c r="C761" s="163">
        <v>82103</v>
      </c>
      <c r="D761" s="144" t="s">
        <v>521</v>
      </c>
      <c r="E761" s="162" t="s">
        <v>340</v>
      </c>
      <c r="F761" s="455" t="s">
        <v>308</v>
      </c>
      <c r="G761" s="455"/>
      <c r="H761" s="387">
        <f>H762</f>
        <v>4</v>
      </c>
    </row>
    <row r="762" spans="2:8" s="65" customFormat="1" ht="15" x14ac:dyDescent="0.25">
      <c r="B762" s="447"/>
      <c r="C762" s="448"/>
      <c r="D762" s="83" t="s">
        <v>454</v>
      </c>
      <c r="E762" s="67" t="s">
        <v>340</v>
      </c>
      <c r="F762" s="446">
        <v>4</v>
      </c>
      <c r="G762" s="446"/>
      <c r="H762" s="402">
        <f>F762</f>
        <v>4</v>
      </c>
    </row>
    <row r="763" spans="2:8" s="65" customFormat="1" ht="20.100000000000001" customHeight="1" x14ac:dyDescent="0.25">
      <c r="B763" s="386" t="s">
        <v>683</v>
      </c>
      <c r="C763" s="163">
        <v>81602</v>
      </c>
      <c r="D763" s="144" t="s">
        <v>523</v>
      </c>
      <c r="E763" s="162" t="s">
        <v>340</v>
      </c>
      <c r="F763" s="455" t="s">
        <v>308</v>
      </c>
      <c r="G763" s="455"/>
      <c r="H763" s="387">
        <f>H764</f>
        <v>1</v>
      </c>
    </row>
    <row r="764" spans="2:8" s="65" customFormat="1" ht="15" x14ac:dyDescent="0.25">
      <c r="B764" s="447"/>
      <c r="C764" s="448"/>
      <c r="D764" s="83" t="s">
        <v>454</v>
      </c>
      <c r="E764" s="67" t="s">
        <v>340</v>
      </c>
      <c r="F764" s="446">
        <v>1</v>
      </c>
      <c r="G764" s="446"/>
      <c r="H764" s="402">
        <f>F764</f>
        <v>1</v>
      </c>
    </row>
    <row r="765" spans="2:8" s="65" customFormat="1" ht="20.100000000000001" customHeight="1" x14ac:dyDescent="0.25">
      <c r="B765" s="386" t="s">
        <v>684</v>
      </c>
      <c r="C765" s="163">
        <v>81701</v>
      </c>
      <c r="D765" s="144" t="s">
        <v>484</v>
      </c>
      <c r="E765" s="162" t="s">
        <v>340</v>
      </c>
      <c r="F765" s="455" t="s">
        <v>308</v>
      </c>
      <c r="G765" s="455"/>
      <c r="H765" s="387">
        <f>H766</f>
        <v>7</v>
      </c>
    </row>
    <row r="766" spans="2:8" s="65" customFormat="1" ht="20.100000000000001" customHeight="1" x14ac:dyDescent="0.25">
      <c r="B766" s="447"/>
      <c r="C766" s="448"/>
      <c r="D766" s="83" t="s">
        <v>454</v>
      </c>
      <c r="E766" s="67" t="s">
        <v>340</v>
      </c>
      <c r="F766" s="446">
        <v>7</v>
      </c>
      <c r="G766" s="446"/>
      <c r="H766" s="402">
        <f>F766</f>
        <v>7</v>
      </c>
    </row>
    <row r="767" spans="2:8" s="65" customFormat="1" ht="20.100000000000001" customHeight="1" x14ac:dyDescent="0.25">
      <c r="B767" s="386" t="s">
        <v>685</v>
      </c>
      <c r="C767" s="163">
        <v>81702</v>
      </c>
      <c r="D767" s="144" t="s">
        <v>524</v>
      </c>
      <c r="E767" s="162" t="s">
        <v>340</v>
      </c>
      <c r="F767" s="455" t="s">
        <v>308</v>
      </c>
      <c r="G767" s="455"/>
      <c r="H767" s="387">
        <f>H768</f>
        <v>3</v>
      </c>
    </row>
    <row r="768" spans="2:8" s="65" customFormat="1" ht="20.100000000000001" customHeight="1" x14ac:dyDescent="0.25">
      <c r="B768" s="447"/>
      <c r="C768" s="448"/>
      <c r="D768" s="83" t="s">
        <v>454</v>
      </c>
      <c r="E768" s="67" t="s">
        <v>340</v>
      </c>
      <c r="F768" s="446">
        <v>3</v>
      </c>
      <c r="G768" s="446"/>
      <c r="H768" s="402">
        <f>F768</f>
        <v>3</v>
      </c>
    </row>
    <row r="769" spans="2:8" s="65" customFormat="1" ht="20.100000000000001" customHeight="1" x14ac:dyDescent="0.25">
      <c r="B769" s="386" t="s">
        <v>686</v>
      </c>
      <c r="C769" s="162">
        <v>81922</v>
      </c>
      <c r="D769" s="144" t="s">
        <v>525</v>
      </c>
      <c r="E769" s="162" t="s">
        <v>340</v>
      </c>
      <c r="F769" s="455" t="s">
        <v>308</v>
      </c>
      <c r="G769" s="455"/>
      <c r="H769" s="387">
        <f>H770</f>
        <v>7</v>
      </c>
    </row>
    <row r="770" spans="2:8" s="65" customFormat="1" ht="20.100000000000001" customHeight="1" x14ac:dyDescent="0.25">
      <c r="B770" s="447"/>
      <c r="C770" s="448"/>
      <c r="D770" s="83" t="s">
        <v>454</v>
      </c>
      <c r="E770" s="67" t="s">
        <v>340</v>
      </c>
      <c r="F770" s="446">
        <f>2+1+1+2+1</f>
        <v>7</v>
      </c>
      <c r="G770" s="446"/>
      <c r="H770" s="402">
        <f>F770</f>
        <v>7</v>
      </c>
    </row>
    <row r="771" spans="2:8" s="65" customFormat="1" ht="20.100000000000001" customHeight="1" x14ac:dyDescent="0.25">
      <c r="B771" s="386" t="s">
        <v>687</v>
      </c>
      <c r="C771" s="163">
        <v>81923</v>
      </c>
      <c r="D771" s="144" t="s">
        <v>526</v>
      </c>
      <c r="E771" s="162" t="s">
        <v>340</v>
      </c>
      <c r="F771" s="455" t="s">
        <v>308</v>
      </c>
      <c r="G771" s="455"/>
      <c r="H771" s="387">
        <f>H772</f>
        <v>2</v>
      </c>
    </row>
    <row r="772" spans="2:8" s="65" customFormat="1" ht="20.100000000000001" customHeight="1" x14ac:dyDescent="0.25">
      <c r="B772" s="447"/>
      <c r="C772" s="448"/>
      <c r="D772" s="83" t="s">
        <v>454</v>
      </c>
      <c r="E772" s="67" t="s">
        <v>340</v>
      </c>
      <c r="F772" s="446">
        <v>2</v>
      </c>
      <c r="G772" s="446"/>
      <c r="H772" s="402">
        <f>F772</f>
        <v>2</v>
      </c>
    </row>
    <row r="773" spans="2:8" s="65" customFormat="1" ht="20.100000000000001" customHeight="1" x14ac:dyDescent="0.25">
      <c r="B773" s="386" t="s">
        <v>688</v>
      </c>
      <c r="C773" s="163">
        <v>81938</v>
      </c>
      <c r="D773" s="144" t="s">
        <v>527</v>
      </c>
      <c r="E773" s="162" t="s">
        <v>340</v>
      </c>
      <c r="F773" s="455" t="s">
        <v>308</v>
      </c>
      <c r="G773" s="455"/>
      <c r="H773" s="387">
        <f>H774</f>
        <v>4</v>
      </c>
    </row>
    <row r="774" spans="2:8" s="65" customFormat="1" ht="20.100000000000001" customHeight="1" x14ac:dyDescent="0.25">
      <c r="B774" s="447"/>
      <c r="C774" s="448"/>
      <c r="D774" s="83" t="s">
        <v>454</v>
      </c>
      <c r="E774" s="67" t="s">
        <v>340</v>
      </c>
      <c r="F774" s="446">
        <v>4</v>
      </c>
      <c r="G774" s="446"/>
      <c r="H774" s="402">
        <f>F774</f>
        <v>4</v>
      </c>
    </row>
    <row r="775" spans="2:8" s="65" customFormat="1" ht="20.100000000000001" customHeight="1" x14ac:dyDescent="0.25">
      <c r="B775" s="386" t="s">
        <v>689</v>
      </c>
      <c r="C775" s="162">
        <v>81973</v>
      </c>
      <c r="D775" s="144" t="s">
        <v>528</v>
      </c>
      <c r="E775" s="162" t="s">
        <v>340</v>
      </c>
      <c r="F775" s="455" t="s">
        <v>308</v>
      </c>
      <c r="G775" s="455"/>
      <c r="H775" s="387">
        <f>H776</f>
        <v>2</v>
      </c>
    </row>
    <row r="776" spans="2:8" s="65" customFormat="1" ht="20.100000000000001" customHeight="1" x14ac:dyDescent="0.25">
      <c r="B776" s="447"/>
      <c r="C776" s="448"/>
      <c r="D776" s="83" t="s">
        <v>454</v>
      </c>
      <c r="E776" s="67" t="s">
        <v>340</v>
      </c>
      <c r="F776" s="446">
        <v>2</v>
      </c>
      <c r="G776" s="446"/>
      <c r="H776" s="402">
        <f>F776</f>
        <v>2</v>
      </c>
    </row>
    <row r="777" spans="2:8" s="65" customFormat="1" ht="20.100000000000001" customHeight="1" x14ac:dyDescent="0.25">
      <c r="B777" s="386" t="s">
        <v>690</v>
      </c>
      <c r="C777" s="162">
        <v>81974</v>
      </c>
      <c r="D777" s="144" t="s">
        <v>529</v>
      </c>
      <c r="E777" s="162" t="s">
        <v>340</v>
      </c>
      <c r="F777" s="455" t="s">
        <v>308</v>
      </c>
      <c r="G777" s="455"/>
      <c r="H777" s="387">
        <f>H778</f>
        <v>2</v>
      </c>
    </row>
    <row r="778" spans="2:8" s="65" customFormat="1" ht="20.100000000000001" customHeight="1" x14ac:dyDescent="0.25">
      <c r="B778" s="447"/>
      <c r="C778" s="448"/>
      <c r="D778" s="83" t="s">
        <v>454</v>
      </c>
      <c r="E778" s="67" t="s">
        <v>340</v>
      </c>
      <c r="F778" s="446">
        <v>2</v>
      </c>
      <c r="G778" s="446"/>
      <c r="H778" s="402">
        <f>F778</f>
        <v>2</v>
      </c>
    </row>
    <row r="779" spans="2:8" s="65" customFormat="1" ht="20.100000000000001" customHeight="1" x14ac:dyDescent="0.25">
      <c r="B779" s="386" t="s">
        <v>691</v>
      </c>
      <c r="C779" s="163">
        <v>81975</v>
      </c>
      <c r="D779" s="144" t="s">
        <v>530</v>
      </c>
      <c r="E779" s="162" t="s">
        <v>340</v>
      </c>
      <c r="F779" s="455" t="s">
        <v>308</v>
      </c>
      <c r="G779" s="455"/>
      <c r="H779" s="387">
        <f>H780</f>
        <v>2</v>
      </c>
    </row>
    <row r="780" spans="2:8" s="65" customFormat="1" ht="20.100000000000001" customHeight="1" x14ac:dyDescent="0.25">
      <c r="B780" s="447"/>
      <c r="C780" s="448"/>
      <c r="D780" s="83" t="s">
        <v>454</v>
      </c>
      <c r="E780" s="67" t="s">
        <v>340</v>
      </c>
      <c r="F780" s="446">
        <v>2</v>
      </c>
      <c r="G780" s="446"/>
      <c r="H780" s="402">
        <f>F780</f>
        <v>2</v>
      </c>
    </row>
    <row r="781" spans="2:8" s="65" customFormat="1" ht="20.100000000000001" customHeight="1" x14ac:dyDescent="0.25">
      <c r="B781" s="386" t="s">
        <v>692</v>
      </c>
      <c r="C781" s="163">
        <v>81936</v>
      </c>
      <c r="D781" s="144" t="s">
        <v>531</v>
      </c>
      <c r="E781" s="162" t="s">
        <v>340</v>
      </c>
      <c r="F781" s="455" t="s">
        <v>308</v>
      </c>
      <c r="G781" s="455"/>
      <c r="H781" s="387">
        <f>H782</f>
        <v>2</v>
      </c>
    </row>
    <row r="782" spans="2:8" s="65" customFormat="1" ht="20.100000000000001" customHeight="1" x14ac:dyDescent="0.25">
      <c r="B782" s="447"/>
      <c r="C782" s="448"/>
      <c r="D782" s="83" t="s">
        <v>454</v>
      </c>
      <c r="E782" s="67" t="s">
        <v>340</v>
      </c>
      <c r="F782" s="446">
        <v>2</v>
      </c>
      <c r="G782" s="446"/>
      <c r="H782" s="402">
        <f>F782</f>
        <v>2</v>
      </c>
    </row>
    <row r="783" spans="2:8" s="65" customFormat="1" ht="20.100000000000001" customHeight="1" x14ac:dyDescent="0.25">
      <c r="B783" s="386" t="s">
        <v>700</v>
      </c>
      <c r="C783" s="163">
        <v>82233</v>
      </c>
      <c r="D783" s="144" t="s">
        <v>532</v>
      </c>
      <c r="E783" s="162" t="s">
        <v>340</v>
      </c>
      <c r="F783" s="455" t="s">
        <v>308</v>
      </c>
      <c r="G783" s="455"/>
      <c r="H783" s="387">
        <f>H784</f>
        <v>1</v>
      </c>
    </row>
    <row r="784" spans="2:8" s="65" customFormat="1" ht="20.100000000000001" customHeight="1" x14ac:dyDescent="0.25">
      <c r="B784" s="447"/>
      <c r="C784" s="448"/>
      <c r="D784" s="83" t="s">
        <v>454</v>
      </c>
      <c r="E784" s="67" t="s">
        <v>340</v>
      </c>
      <c r="F784" s="446">
        <v>1</v>
      </c>
      <c r="G784" s="446"/>
      <c r="H784" s="402">
        <f>F784</f>
        <v>1</v>
      </c>
    </row>
    <row r="785" spans="2:8" s="65" customFormat="1" ht="20.100000000000001" customHeight="1" x14ac:dyDescent="0.25">
      <c r="B785" s="386" t="s">
        <v>701</v>
      </c>
      <c r="C785" s="163" t="s">
        <v>534</v>
      </c>
      <c r="D785" s="144" t="s">
        <v>533</v>
      </c>
      <c r="E785" s="162" t="s">
        <v>340</v>
      </c>
      <c r="F785" s="455" t="s">
        <v>308</v>
      </c>
      <c r="G785" s="455"/>
      <c r="H785" s="387">
        <f>H786</f>
        <v>2</v>
      </c>
    </row>
    <row r="786" spans="2:8" s="65" customFormat="1" ht="20.100000000000001" customHeight="1" x14ac:dyDescent="0.25">
      <c r="B786" s="447"/>
      <c r="C786" s="448"/>
      <c r="D786" s="83" t="s">
        <v>454</v>
      </c>
      <c r="E786" s="67" t="s">
        <v>340</v>
      </c>
      <c r="F786" s="446">
        <v>2</v>
      </c>
      <c r="G786" s="446"/>
      <c r="H786" s="402">
        <f>F786</f>
        <v>2</v>
      </c>
    </row>
    <row r="787" spans="2:8" s="65" customFormat="1" ht="20.100000000000001" customHeight="1" x14ac:dyDescent="0.25">
      <c r="B787" s="386" t="s">
        <v>702</v>
      </c>
      <c r="C787" s="163" t="s">
        <v>1211</v>
      </c>
      <c r="D787" s="144" t="s">
        <v>1209</v>
      </c>
      <c r="E787" s="162" t="s">
        <v>340</v>
      </c>
      <c r="F787" s="455" t="s">
        <v>308</v>
      </c>
      <c r="G787" s="455"/>
      <c r="H787" s="387">
        <f>SUM(H788:H789)</f>
        <v>4</v>
      </c>
    </row>
    <row r="788" spans="2:8" s="65" customFormat="1" ht="20.100000000000001" customHeight="1" x14ac:dyDescent="0.25">
      <c r="B788" s="447"/>
      <c r="C788" s="448"/>
      <c r="D788" s="240" t="s">
        <v>315</v>
      </c>
      <c r="E788" s="67" t="s">
        <v>340</v>
      </c>
      <c r="F788" s="554">
        <v>2</v>
      </c>
      <c r="G788" s="462"/>
      <c r="H788" s="402">
        <f>F788</f>
        <v>2</v>
      </c>
    </row>
    <row r="789" spans="2:8" s="65" customFormat="1" ht="20.100000000000001" customHeight="1" x14ac:dyDescent="0.25">
      <c r="B789" s="447"/>
      <c r="C789" s="448"/>
      <c r="D789" s="240" t="s">
        <v>316</v>
      </c>
      <c r="E789" s="67" t="s">
        <v>340</v>
      </c>
      <c r="F789" s="554">
        <v>2</v>
      </c>
      <c r="G789" s="462"/>
      <c r="H789" s="402">
        <f>F789</f>
        <v>2</v>
      </c>
    </row>
    <row r="790" spans="2:8" s="65" customFormat="1" ht="20.100000000000001" customHeight="1" x14ac:dyDescent="0.25">
      <c r="B790" s="386" t="s">
        <v>704</v>
      </c>
      <c r="C790" s="163" t="s">
        <v>1212</v>
      </c>
      <c r="D790" s="144" t="s">
        <v>1213</v>
      </c>
      <c r="E790" s="162" t="s">
        <v>340</v>
      </c>
      <c r="F790" s="455" t="s">
        <v>308</v>
      </c>
      <c r="G790" s="455"/>
      <c r="H790" s="387">
        <f>SUM(H791:H792)</f>
        <v>4</v>
      </c>
    </row>
    <row r="791" spans="2:8" s="65" customFormat="1" ht="20.100000000000001" customHeight="1" x14ac:dyDescent="0.25">
      <c r="B791" s="447"/>
      <c r="C791" s="448"/>
      <c r="D791" s="240" t="s">
        <v>315</v>
      </c>
      <c r="E791" s="67" t="s">
        <v>340</v>
      </c>
      <c r="F791" s="554">
        <v>2</v>
      </c>
      <c r="G791" s="462"/>
      <c r="H791" s="402">
        <f>F791</f>
        <v>2</v>
      </c>
    </row>
    <row r="792" spans="2:8" s="65" customFormat="1" ht="20.100000000000001" customHeight="1" x14ac:dyDescent="0.25">
      <c r="B792" s="447"/>
      <c r="C792" s="448"/>
      <c r="D792" s="240" t="s">
        <v>316</v>
      </c>
      <c r="E792" s="67" t="s">
        <v>340</v>
      </c>
      <c r="F792" s="554">
        <v>2</v>
      </c>
      <c r="G792" s="462"/>
      <c r="H792" s="402">
        <f>F792</f>
        <v>2</v>
      </c>
    </row>
    <row r="793" spans="2:8" s="65" customFormat="1" ht="20.100000000000001" customHeight="1" x14ac:dyDescent="0.25">
      <c r="B793" s="551" t="s">
        <v>662</v>
      </c>
      <c r="C793" s="552"/>
      <c r="D793" s="552"/>
      <c r="E793" s="552"/>
      <c r="F793" s="552"/>
      <c r="G793" s="553"/>
      <c r="H793" s="405" t="s">
        <v>6</v>
      </c>
    </row>
    <row r="794" spans="2:8" s="65" customFormat="1" ht="20.100000000000001" customHeight="1" x14ac:dyDescent="0.25">
      <c r="B794" s="386" t="s">
        <v>705</v>
      </c>
      <c r="C794" s="163">
        <v>82304</v>
      </c>
      <c r="D794" s="144" t="s">
        <v>479</v>
      </c>
      <c r="E794" s="162" t="s">
        <v>29</v>
      </c>
      <c r="F794" s="455" t="s">
        <v>26</v>
      </c>
      <c r="G794" s="455"/>
      <c r="H794" s="387">
        <f>H795</f>
        <v>96.300000000000011</v>
      </c>
    </row>
    <row r="795" spans="2:8" s="65" customFormat="1" ht="20.100000000000001" customHeight="1" x14ac:dyDescent="0.25">
      <c r="B795" s="447"/>
      <c r="C795" s="448"/>
      <c r="D795" s="83" t="s">
        <v>665</v>
      </c>
      <c r="E795" s="67" t="s">
        <v>29</v>
      </c>
      <c r="F795" s="446">
        <f>3.5+6.9+76.5+5.9+3.5</f>
        <v>96.300000000000011</v>
      </c>
      <c r="G795" s="446"/>
      <c r="H795" s="402">
        <f>F795</f>
        <v>96.300000000000011</v>
      </c>
    </row>
    <row r="796" spans="2:8" s="65" customFormat="1" ht="20.100000000000001" customHeight="1" x14ac:dyDescent="0.25">
      <c r="B796" s="386" t="s">
        <v>1076</v>
      </c>
      <c r="C796" s="163">
        <v>82332</v>
      </c>
      <c r="D796" s="144" t="s">
        <v>664</v>
      </c>
      <c r="E796" s="162" t="s">
        <v>29</v>
      </c>
      <c r="F796" s="455" t="s">
        <v>26</v>
      </c>
      <c r="G796" s="455"/>
      <c r="H796" s="387">
        <f>H797</f>
        <v>61.3</v>
      </c>
    </row>
    <row r="797" spans="2:8" s="65" customFormat="1" ht="20.100000000000001" customHeight="1" x14ac:dyDescent="0.25">
      <c r="B797" s="447"/>
      <c r="C797" s="448"/>
      <c r="D797" s="83" t="s">
        <v>665</v>
      </c>
      <c r="E797" s="67" t="s">
        <v>29</v>
      </c>
      <c r="F797" s="537">
        <f>5+47+2.3+7</f>
        <v>61.3</v>
      </c>
      <c r="G797" s="537"/>
      <c r="H797" s="402">
        <f>F797</f>
        <v>61.3</v>
      </c>
    </row>
    <row r="798" spans="2:8" s="65" customFormat="1" ht="20.100000000000001" customHeight="1" x14ac:dyDescent="0.25">
      <c r="B798" s="386" t="s">
        <v>1078</v>
      </c>
      <c r="C798" s="163">
        <v>82331</v>
      </c>
      <c r="D798" s="144" t="s">
        <v>673</v>
      </c>
      <c r="E798" s="162" t="s">
        <v>29</v>
      </c>
      <c r="F798" s="455" t="s">
        <v>26</v>
      </c>
      <c r="G798" s="455"/>
      <c r="H798" s="387">
        <f>H799</f>
        <v>72.55</v>
      </c>
    </row>
    <row r="799" spans="2:8" s="65" customFormat="1" ht="20.100000000000001" customHeight="1" x14ac:dyDescent="0.25">
      <c r="B799" s="447"/>
      <c r="C799" s="448"/>
      <c r="D799" s="83" t="s">
        <v>665</v>
      </c>
      <c r="E799" s="67" t="s">
        <v>29</v>
      </c>
      <c r="F799" s="446">
        <f>50.5+3.25+2.3+9.5+7</f>
        <v>72.55</v>
      </c>
      <c r="G799" s="446"/>
      <c r="H799" s="402">
        <f>F799</f>
        <v>72.55</v>
      </c>
    </row>
    <row r="800" spans="2:8" s="65" customFormat="1" ht="20.100000000000001" customHeight="1" x14ac:dyDescent="0.25">
      <c r="B800" s="386" t="s">
        <v>1089</v>
      </c>
      <c r="C800" s="163" t="s">
        <v>667</v>
      </c>
      <c r="D800" s="144" t="s">
        <v>763</v>
      </c>
      <c r="E800" s="162" t="s">
        <v>340</v>
      </c>
      <c r="F800" s="455" t="s">
        <v>308</v>
      </c>
      <c r="G800" s="455"/>
      <c r="H800" s="387">
        <f>H801</f>
        <v>11</v>
      </c>
    </row>
    <row r="801" spans="2:8" s="65" customFormat="1" ht="20.100000000000001" customHeight="1" x14ac:dyDescent="0.25">
      <c r="B801" s="447"/>
      <c r="C801" s="448"/>
      <c r="D801" s="83" t="s">
        <v>665</v>
      </c>
      <c r="E801" s="67" t="s">
        <v>340</v>
      </c>
      <c r="F801" s="446">
        <f>2+7+2</f>
        <v>11</v>
      </c>
      <c r="G801" s="446"/>
      <c r="H801" s="402">
        <f>F801</f>
        <v>11</v>
      </c>
    </row>
    <row r="802" spans="2:8" s="65" customFormat="1" ht="20.100000000000001" customHeight="1" x14ac:dyDescent="0.25">
      <c r="B802" s="386" t="s">
        <v>1090</v>
      </c>
      <c r="C802" s="163" t="s">
        <v>669</v>
      </c>
      <c r="D802" s="144" t="s">
        <v>668</v>
      </c>
      <c r="E802" s="162" t="s">
        <v>340</v>
      </c>
      <c r="F802" s="455" t="s">
        <v>308</v>
      </c>
      <c r="G802" s="455"/>
      <c r="H802" s="387">
        <f>H803</f>
        <v>1</v>
      </c>
    </row>
    <row r="803" spans="2:8" s="65" customFormat="1" ht="15" x14ac:dyDescent="0.25">
      <c r="B803" s="447"/>
      <c r="C803" s="448"/>
      <c r="D803" s="83" t="s">
        <v>665</v>
      </c>
      <c r="E803" s="67" t="s">
        <v>340</v>
      </c>
      <c r="F803" s="446">
        <v>1</v>
      </c>
      <c r="G803" s="446"/>
      <c r="H803" s="402">
        <f>F803</f>
        <v>1</v>
      </c>
    </row>
    <row r="804" spans="2:8" s="65" customFormat="1" ht="20.100000000000001" customHeight="1" x14ac:dyDescent="0.25">
      <c r="B804" s="386" t="s">
        <v>1091</v>
      </c>
      <c r="C804" s="163" t="s">
        <v>670</v>
      </c>
      <c r="D804" s="144" t="s">
        <v>672</v>
      </c>
      <c r="E804" s="162" t="s">
        <v>340</v>
      </c>
      <c r="F804" s="455" t="s">
        <v>308</v>
      </c>
      <c r="G804" s="455"/>
      <c r="H804" s="387">
        <f>H805</f>
        <v>8</v>
      </c>
    </row>
    <row r="805" spans="2:8" s="65" customFormat="1" ht="15" x14ac:dyDescent="0.25">
      <c r="B805" s="447"/>
      <c r="C805" s="448"/>
      <c r="D805" s="83" t="s">
        <v>665</v>
      </c>
      <c r="E805" s="67" t="s">
        <v>340</v>
      </c>
      <c r="F805" s="446">
        <v>8</v>
      </c>
      <c r="G805" s="446"/>
      <c r="H805" s="402">
        <f>F805</f>
        <v>8</v>
      </c>
    </row>
    <row r="806" spans="2:8" s="65" customFormat="1" ht="20.100000000000001" customHeight="1" x14ac:dyDescent="0.25">
      <c r="B806" s="386" t="s">
        <v>1092</v>
      </c>
      <c r="C806" s="163">
        <v>81938</v>
      </c>
      <c r="D806" s="144" t="s">
        <v>527</v>
      </c>
      <c r="E806" s="162" t="s">
        <v>340</v>
      </c>
      <c r="F806" s="455" t="s">
        <v>308</v>
      </c>
      <c r="G806" s="455"/>
      <c r="H806" s="387">
        <f>H807</f>
        <v>15</v>
      </c>
    </row>
    <row r="807" spans="2:8" s="65" customFormat="1" ht="15" x14ac:dyDescent="0.25">
      <c r="B807" s="447"/>
      <c r="C807" s="448"/>
      <c r="D807" s="83" t="s">
        <v>665</v>
      </c>
      <c r="E807" s="67" t="s">
        <v>340</v>
      </c>
      <c r="F807" s="446">
        <f>2+1+5+2+5</f>
        <v>15</v>
      </c>
      <c r="G807" s="446"/>
      <c r="H807" s="402">
        <f>F807</f>
        <v>15</v>
      </c>
    </row>
    <row r="808" spans="2:8" s="65" customFormat="1" ht="20.100000000000001" customHeight="1" x14ac:dyDescent="0.25">
      <c r="B808" s="386" t="s">
        <v>1152</v>
      </c>
      <c r="C808" s="163">
        <v>82235</v>
      </c>
      <c r="D808" s="144" t="s">
        <v>666</v>
      </c>
      <c r="E808" s="162" t="s">
        <v>340</v>
      </c>
      <c r="F808" s="455" t="s">
        <v>308</v>
      </c>
      <c r="G808" s="455"/>
      <c r="H808" s="387">
        <f>H809</f>
        <v>4</v>
      </c>
    </row>
    <row r="809" spans="2:8" s="65" customFormat="1" ht="15" x14ac:dyDescent="0.25">
      <c r="B809" s="447"/>
      <c r="C809" s="448"/>
      <c r="D809" s="83" t="s">
        <v>665</v>
      </c>
      <c r="E809" s="67" t="s">
        <v>340</v>
      </c>
      <c r="F809" s="446">
        <f>1+2+1</f>
        <v>4</v>
      </c>
      <c r="G809" s="446"/>
      <c r="H809" s="402">
        <f>F809</f>
        <v>4</v>
      </c>
    </row>
    <row r="810" spans="2:8" s="65" customFormat="1" ht="33.75" customHeight="1" x14ac:dyDescent="0.25">
      <c r="B810" s="386" t="s">
        <v>1153</v>
      </c>
      <c r="C810" s="163" t="s">
        <v>675</v>
      </c>
      <c r="D810" s="88" t="s">
        <v>676</v>
      </c>
      <c r="E810" s="162" t="s">
        <v>340</v>
      </c>
      <c r="F810" s="455" t="s">
        <v>308</v>
      </c>
      <c r="G810" s="455"/>
      <c r="H810" s="387">
        <f>H811</f>
        <v>7</v>
      </c>
    </row>
    <row r="811" spans="2:8" s="65" customFormat="1" ht="15" x14ac:dyDescent="0.25">
      <c r="B811" s="447"/>
      <c r="C811" s="448"/>
      <c r="D811" s="83" t="s">
        <v>665</v>
      </c>
      <c r="E811" s="67" t="s">
        <v>340</v>
      </c>
      <c r="F811" s="446">
        <v>7</v>
      </c>
      <c r="G811" s="446"/>
      <c r="H811" s="402">
        <f>F811</f>
        <v>7</v>
      </c>
    </row>
    <row r="812" spans="2:8" s="65" customFormat="1" ht="20.100000000000001" customHeight="1" x14ac:dyDescent="0.25">
      <c r="B812" s="386" t="s">
        <v>1206</v>
      </c>
      <c r="C812" s="163" t="s">
        <v>671</v>
      </c>
      <c r="D812" s="144" t="s">
        <v>693</v>
      </c>
      <c r="E812" s="162" t="s">
        <v>340</v>
      </c>
      <c r="F812" s="455" t="s">
        <v>308</v>
      </c>
      <c r="G812" s="455"/>
      <c r="H812" s="387">
        <f>H813</f>
        <v>3</v>
      </c>
    </row>
    <row r="813" spans="2:8" s="65" customFormat="1" ht="15" x14ac:dyDescent="0.25">
      <c r="B813" s="447"/>
      <c r="C813" s="448"/>
      <c r="D813" s="83" t="s">
        <v>665</v>
      </c>
      <c r="E813" s="67" t="s">
        <v>340</v>
      </c>
      <c r="F813" s="446">
        <f>1+1+1</f>
        <v>3</v>
      </c>
      <c r="G813" s="446"/>
      <c r="H813" s="402">
        <f>F813</f>
        <v>3</v>
      </c>
    </row>
    <row r="814" spans="2:8" s="65" customFormat="1" ht="20.100000000000001" customHeight="1" x14ac:dyDescent="0.25">
      <c r="B814" s="386" t="s">
        <v>1207</v>
      </c>
      <c r="C814" s="162" t="s">
        <v>680</v>
      </c>
      <c r="D814" s="144" t="s">
        <v>677</v>
      </c>
      <c r="E814" s="162" t="s">
        <v>340</v>
      </c>
      <c r="F814" s="455" t="s">
        <v>308</v>
      </c>
      <c r="G814" s="455"/>
      <c r="H814" s="387">
        <f>H815</f>
        <v>3</v>
      </c>
    </row>
    <row r="815" spans="2:8" s="65" customFormat="1" ht="15" x14ac:dyDescent="0.25">
      <c r="B815" s="447"/>
      <c r="C815" s="448"/>
      <c r="D815" s="83" t="s">
        <v>665</v>
      </c>
      <c r="E815" s="67" t="s">
        <v>340</v>
      </c>
      <c r="F815" s="446">
        <f>1+1+1</f>
        <v>3</v>
      </c>
      <c r="G815" s="446"/>
      <c r="H815" s="402">
        <f>F815</f>
        <v>3</v>
      </c>
    </row>
    <row r="816" spans="2:8" s="65" customFormat="1" ht="31.5" x14ac:dyDescent="0.25">
      <c r="B816" s="386" t="s">
        <v>1208</v>
      </c>
      <c r="C816" s="162" t="s">
        <v>679</v>
      </c>
      <c r="D816" s="88" t="s">
        <v>678</v>
      </c>
      <c r="E816" s="162" t="s">
        <v>340</v>
      </c>
      <c r="F816" s="455" t="s">
        <v>308</v>
      </c>
      <c r="G816" s="455"/>
      <c r="H816" s="387">
        <f>H817</f>
        <v>5</v>
      </c>
    </row>
    <row r="817" spans="2:8" s="65" customFormat="1" ht="15" x14ac:dyDescent="0.25">
      <c r="B817" s="447"/>
      <c r="C817" s="448"/>
      <c r="D817" s="83" t="s">
        <v>665</v>
      </c>
      <c r="E817" s="67" t="s">
        <v>340</v>
      </c>
      <c r="F817" s="446">
        <f>2+3</f>
        <v>5</v>
      </c>
      <c r="G817" s="446"/>
      <c r="H817" s="402">
        <f>F817</f>
        <v>5</v>
      </c>
    </row>
    <row r="818" spans="2:8" s="65" customFormat="1" ht="20.100000000000001" customHeight="1" x14ac:dyDescent="0.25">
      <c r="B818" s="386" t="s">
        <v>1241</v>
      </c>
      <c r="C818" s="162">
        <v>82004</v>
      </c>
      <c r="D818" s="88" t="s">
        <v>694</v>
      </c>
      <c r="E818" s="162" t="s">
        <v>340</v>
      </c>
      <c r="F818" s="455" t="s">
        <v>308</v>
      </c>
      <c r="G818" s="455"/>
      <c r="H818" s="387">
        <f>H819</f>
        <v>9</v>
      </c>
    </row>
    <row r="819" spans="2:8" s="65" customFormat="1" ht="15" x14ac:dyDescent="0.25">
      <c r="B819" s="447"/>
      <c r="C819" s="448"/>
      <c r="D819" s="83" t="s">
        <v>665</v>
      </c>
      <c r="E819" s="67" t="s">
        <v>340</v>
      </c>
      <c r="F819" s="446">
        <f>5+2+2</f>
        <v>9</v>
      </c>
      <c r="G819" s="446"/>
      <c r="H819" s="402">
        <f>F819</f>
        <v>9</v>
      </c>
    </row>
    <row r="820" spans="2:8" s="65" customFormat="1" ht="31.5" x14ac:dyDescent="0.25">
      <c r="B820" s="386" t="s">
        <v>1242</v>
      </c>
      <c r="C820" s="163" t="s">
        <v>696</v>
      </c>
      <c r="D820" s="88" t="s">
        <v>695</v>
      </c>
      <c r="E820" s="162" t="s">
        <v>340</v>
      </c>
      <c r="F820" s="455" t="s">
        <v>308</v>
      </c>
      <c r="G820" s="455"/>
      <c r="H820" s="387">
        <f>H821</f>
        <v>6</v>
      </c>
    </row>
    <row r="821" spans="2:8" s="65" customFormat="1" ht="15" x14ac:dyDescent="0.25">
      <c r="B821" s="447"/>
      <c r="C821" s="448"/>
      <c r="D821" s="83" t="s">
        <v>665</v>
      </c>
      <c r="E821" s="67" t="s">
        <v>340</v>
      </c>
      <c r="F821" s="446">
        <f>3+2+1</f>
        <v>6</v>
      </c>
      <c r="G821" s="446"/>
      <c r="H821" s="402">
        <f>F821</f>
        <v>6</v>
      </c>
    </row>
    <row r="822" spans="2:8" s="65" customFormat="1" ht="20.100000000000001" customHeight="1" x14ac:dyDescent="0.25">
      <c r="B822" s="386" t="s">
        <v>1243</v>
      </c>
      <c r="C822" s="163" t="s">
        <v>699</v>
      </c>
      <c r="D822" s="88" t="s">
        <v>663</v>
      </c>
      <c r="E822" s="162" t="s">
        <v>340</v>
      </c>
      <c r="F822" s="455" t="s">
        <v>308</v>
      </c>
      <c r="G822" s="455"/>
      <c r="H822" s="387">
        <f>H823</f>
        <v>1</v>
      </c>
    </row>
    <row r="823" spans="2:8" s="65" customFormat="1" ht="15" x14ac:dyDescent="0.25">
      <c r="B823" s="447"/>
      <c r="C823" s="448"/>
      <c r="D823" s="83" t="s">
        <v>665</v>
      </c>
      <c r="E823" s="67" t="s">
        <v>340</v>
      </c>
      <c r="F823" s="446">
        <v>1</v>
      </c>
      <c r="G823" s="446"/>
      <c r="H823" s="402">
        <f>F823</f>
        <v>1</v>
      </c>
    </row>
    <row r="824" spans="2:8" s="65" customFormat="1" ht="20.100000000000001" customHeight="1" x14ac:dyDescent="0.25">
      <c r="B824" s="386" t="s">
        <v>1244</v>
      </c>
      <c r="C824" s="163" t="s">
        <v>698</v>
      </c>
      <c r="D824" s="88" t="s">
        <v>697</v>
      </c>
      <c r="E824" s="162" t="s">
        <v>340</v>
      </c>
      <c r="F824" s="455" t="s">
        <v>308</v>
      </c>
      <c r="G824" s="455"/>
      <c r="H824" s="387">
        <f>H825</f>
        <v>9</v>
      </c>
    </row>
    <row r="825" spans="2:8" s="65" customFormat="1" ht="15" x14ac:dyDescent="0.25">
      <c r="B825" s="447"/>
      <c r="C825" s="448"/>
      <c r="D825" s="83" t="s">
        <v>665</v>
      </c>
      <c r="E825" s="67" t="s">
        <v>340</v>
      </c>
      <c r="F825" s="446">
        <f>8+1</f>
        <v>9</v>
      </c>
      <c r="G825" s="446"/>
      <c r="H825" s="402">
        <f>F825</f>
        <v>9</v>
      </c>
    </row>
    <row r="826" spans="2:8" s="65" customFormat="1" ht="31.5" x14ac:dyDescent="0.25">
      <c r="B826" s="386" t="s">
        <v>1245</v>
      </c>
      <c r="C826" s="162" t="s">
        <v>674</v>
      </c>
      <c r="D826" s="88" t="s">
        <v>703</v>
      </c>
      <c r="E826" s="162" t="s">
        <v>340</v>
      </c>
      <c r="F826" s="455" t="s">
        <v>308</v>
      </c>
      <c r="G826" s="455"/>
      <c r="H826" s="387">
        <f>H827</f>
        <v>1</v>
      </c>
    </row>
    <row r="827" spans="2:8" s="65" customFormat="1" ht="15" x14ac:dyDescent="0.25">
      <c r="B827" s="388"/>
      <c r="C827" s="202"/>
      <c r="D827" s="83" t="s">
        <v>665</v>
      </c>
      <c r="E827" s="67" t="s">
        <v>340</v>
      </c>
      <c r="F827" s="446">
        <v>1</v>
      </c>
      <c r="G827" s="446"/>
      <c r="H827" s="402">
        <f>F827</f>
        <v>1</v>
      </c>
    </row>
    <row r="828" spans="2:8" s="65" customFormat="1" ht="20.100000000000001" customHeight="1" x14ac:dyDescent="0.25">
      <c r="B828" s="551" t="s">
        <v>1075</v>
      </c>
      <c r="C828" s="552"/>
      <c r="D828" s="552"/>
      <c r="E828" s="552"/>
      <c r="F828" s="552"/>
      <c r="G828" s="553"/>
      <c r="H828" s="405" t="s">
        <v>6</v>
      </c>
    </row>
    <row r="829" spans="2:8" s="65" customFormat="1" ht="20.100000000000001" customHeight="1" x14ac:dyDescent="0.25">
      <c r="B829" s="386" t="s">
        <v>1246</v>
      </c>
      <c r="C829" s="163">
        <v>85001</v>
      </c>
      <c r="D829" s="88" t="s">
        <v>1077</v>
      </c>
      <c r="E829" s="162" t="s">
        <v>340</v>
      </c>
      <c r="F829" s="455" t="s">
        <v>355</v>
      </c>
      <c r="G829" s="455"/>
      <c r="H829" s="387">
        <f>SUM(H830:H831)</f>
        <v>3</v>
      </c>
    </row>
    <row r="830" spans="2:8" s="65" customFormat="1" ht="20.100000000000001" customHeight="1" x14ac:dyDescent="0.25">
      <c r="B830" s="465"/>
      <c r="C830" s="466"/>
      <c r="D830" s="83" t="s">
        <v>449</v>
      </c>
      <c r="E830" s="67" t="s">
        <v>340</v>
      </c>
      <c r="F830" s="461">
        <v>2</v>
      </c>
      <c r="G830" s="462"/>
      <c r="H830" s="402">
        <f>F830</f>
        <v>2</v>
      </c>
    </row>
    <row r="831" spans="2:8" s="65" customFormat="1" ht="20.100000000000001" customHeight="1" x14ac:dyDescent="0.25">
      <c r="B831" s="467"/>
      <c r="C831" s="468"/>
      <c r="D831" s="83" t="s">
        <v>205</v>
      </c>
      <c r="E831" s="67" t="s">
        <v>340</v>
      </c>
      <c r="F831" s="461">
        <v>1</v>
      </c>
      <c r="G831" s="462"/>
      <c r="H831" s="402">
        <f>F831</f>
        <v>1</v>
      </c>
    </row>
    <row r="832" spans="2:8" s="65" customFormat="1" ht="20.100000000000001" customHeight="1" x14ac:dyDescent="0.25">
      <c r="B832" s="386" t="s">
        <v>1247</v>
      </c>
      <c r="C832" s="163">
        <v>85003</v>
      </c>
      <c r="D832" s="88" t="s">
        <v>1079</v>
      </c>
      <c r="E832" s="162" t="s">
        <v>340</v>
      </c>
      <c r="F832" s="455" t="s">
        <v>355</v>
      </c>
      <c r="G832" s="455"/>
      <c r="H832" s="387">
        <f>SUM(H833:H835)</f>
        <v>6</v>
      </c>
    </row>
    <row r="833" spans="2:8" s="65" customFormat="1" ht="20.100000000000001" customHeight="1" x14ac:dyDescent="0.25">
      <c r="B833" s="465"/>
      <c r="C833" s="466"/>
      <c r="D833" s="83" t="s">
        <v>1080</v>
      </c>
      <c r="E833" s="67" t="s">
        <v>340</v>
      </c>
      <c r="F833" s="461">
        <v>1</v>
      </c>
      <c r="G833" s="462"/>
      <c r="H833" s="402">
        <f>F833</f>
        <v>1</v>
      </c>
    </row>
    <row r="834" spans="2:8" s="65" customFormat="1" ht="20.100000000000001" customHeight="1" x14ac:dyDescent="0.25">
      <c r="B834" s="473"/>
      <c r="C834" s="474"/>
      <c r="D834" s="83" t="s">
        <v>1081</v>
      </c>
      <c r="E834" s="67" t="s">
        <v>340</v>
      </c>
      <c r="F834" s="461">
        <v>2</v>
      </c>
      <c r="G834" s="462"/>
      <c r="H834" s="402">
        <f t="shared" ref="H834:H835" si="37">F834</f>
        <v>2</v>
      </c>
    </row>
    <row r="835" spans="2:8" s="65" customFormat="1" ht="20.100000000000001" customHeight="1" x14ac:dyDescent="0.25">
      <c r="B835" s="467"/>
      <c r="C835" s="468"/>
      <c r="D835" s="83" t="s">
        <v>1082</v>
      </c>
      <c r="E835" s="67" t="s">
        <v>340</v>
      </c>
      <c r="F835" s="461">
        <v>3</v>
      </c>
      <c r="G835" s="462"/>
      <c r="H835" s="402">
        <f t="shared" si="37"/>
        <v>3</v>
      </c>
    </row>
    <row r="836" spans="2:8" s="65" customFormat="1" ht="20.100000000000001" customHeight="1" x14ac:dyDescent="0.25">
      <c r="B836" s="386" t="s">
        <v>1248</v>
      </c>
      <c r="C836" s="163" t="s">
        <v>1088</v>
      </c>
      <c r="D836" s="88" t="s">
        <v>1083</v>
      </c>
      <c r="E836" s="162" t="s">
        <v>340</v>
      </c>
      <c r="F836" s="455" t="s">
        <v>355</v>
      </c>
      <c r="G836" s="455"/>
      <c r="H836" s="387">
        <f>H837</f>
        <v>16</v>
      </c>
    </row>
    <row r="837" spans="2:8" s="65" customFormat="1" ht="20.100000000000001" customHeight="1" x14ac:dyDescent="0.25">
      <c r="B837" s="396"/>
      <c r="C837" s="232"/>
      <c r="D837" s="83" t="s">
        <v>1096</v>
      </c>
      <c r="E837" s="67" t="s">
        <v>340</v>
      </c>
      <c r="F837" s="461">
        <v>16</v>
      </c>
      <c r="G837" s="462"/>
      <c r="H837" s="402">
        <f>F837</f>
        <v>16</v>
      </c>
    </row>
    <row r="838" spans="2:8" s="65" customFormat="1" ht="20.100000000000001" customHeight="1" x14ac:dyDescent="0.25">
      <c r="B838" s="386" t="s">
        <v>1249</v>
      </c>
      <c r="C838" s="163" t="s">
        <v>1093</v>
      </c>
      <c r="D838" s="88" t="s">
        <v>1085</v>
      </c>
      <c r="E838" s="162" t="s">
        <v>340</v>
      </c>
      <c r="F838" s="455" t="s">
        <v>355</v>
      </c>
      <c r="G838" s="455"/>
      <c r="H838" s="387">
        <f>H839</f>
        <v>6</v>
      </c>
    </row>
    <row r="839" spans="2:8" s="65" customFormat="1" ht="20.100000000000001" customHeight="1" x14ac:dyDescent="0.25">
      <c r="B839" s="396"/>
      <c r="C839" s="232"/>
      <c r="D839" s="83" t="s">
        <v>1096</v>
      </c>
      <c r="E839" s="67" t="s">
        <v>340</v>
      </c>
      <c r="F839" s="461">
        <v>6</v>
      </c>
      <c r="G839" s="462"/>
      <c r="H839" s="402">
        <f>F839</f>
        <v>6</v>
      </c>
    </row>
    <row r="840" spans="2:8" s="65" customFormat="1" ht="20.100000000000001" customHeight="1" x14ac:dyDescent="0.25">
      <c r="B840" s="386" t="s">
        <v>1250</v>
      </c>
      <c r="C840" s="163" t="s">
        <v>1094</v>
      </c>
      <c r="D840" s="88" t="s">
        <v>1086</v>
      </c>
      <c r="E840" s="162" t="s">
        <v>340</v>
      </c>
      <c r="F840" s="455" t="s">
        <v>355</v>
      </c>
      <c r="G840" s="455"/>
      <c r="H840" s="387">
        <f>H841</f>
        <v>4</v>
      </c>
    </row>
    <row r="841" spans="2:8" s="65" customFormat="1" ht="20.100000000000001" customHeight="1" x14ac:dyDescent="0.25">
      <c r="B841" s="396"/>
      <c r="C841" s="232"/>
      <c r="D841" s="83" t="s">
        <v>1096</v>
      </c>
      <c r="E841" s="67" t="s">
        <v>340</v>
      </c>
      <c r="F841" s="461">
        <v>4</v>
      </c>
      <c r="G841" s="462"/>
      <c r="H841" s="402">
        <f>F841</f>
        <v>4</v>
      </c>
    </row>
    <row r="842" spans="2:8" s="65" customFormat="1" ht="20.100000000000001" customHeight="1" x14ac:dyDescent="0.25">
      <c r="B842" s="386" t="s">
        <v>1251</v>
      </c>
      <c r="C842" s="163" t="s">
        <v>1095</v>
      </c>
      <c r="D842" s="88" t="s">
        <v>1087</v>
      </c>
      <c r="E842" s="162" t="s">
        <v>340</v>
      </c>
      <c r="F842" s="455" t="s">
        <v>355</v>
      </c>
      <c r="G842" s="455"/>
      <c r="H842" s="387">
        <f>H843</f>
        <v>9</v>
      </c>
    </row>
    <row r="843" spans="2:8" s="65" customFormat="1" ht="20.100000000000001" customHeight="1" x14ac:dyDescent="0.25">
      <c r="B843" s="396"/>
      <c r="C843" s="232"/>
      <c r="D843" s="83" t="s">
        <v>1096</v>
      </c>
      <c r="E843" s="67" t="s">
        <v>340</v>
      </c>
      <c r="F843" s="461">
        <v>9</v>
      </c>
      <c r="G843" s="462"/>
      <c r="H843" s="402">
        <f>F843</f>
        <v>9</v>
      </c>
    </row>
    <row r="844" spans="2:8" s="65" customFormat="1" ht="20.100000000000001" customHeight="1" x14ac:dyDescent="0.25">
      <c r="B844" s="457" t="s">
        <v>975</v>
      </c>
      <c r="C844" s="458"/>
      <c r="D844" s="459"/>
      <c r="E844" s="459"/>
      <c r="F844" s="459"/>
      <c r="G844" s="459"/>
      <c r="H844" s="460"/>
    </row>
    <row r="845" spans="2:8" s="65" customFormat="1" ht="20.100000000000001" customHeight="1" x14ac:dyDescent="0.25">
      <c r="B845" s="377">
        <v>8</v>
      </c>
      <c r="C845" s="233">
        <v>90000</v>
      </c>
      <c r="D845" s="458" t="s">
        <v>976</v>
      </c>
      <c r="E845" s="458"/>
      <c r="F845" s="458"/>
      <c r="G845" s="458"/>
      <c r="H845" s="395" t="s">
        <v>755</v>
      </c>
    </row>
    <row r="846" spans="2:8" s="65" customFormat="1" ht="32.25" customHeight="1" x14ac:dyDescent="0.25">
      <c r="B846" s="386" t="s">
        <v>1099</v>
      </c>
      <c r="C846" s="163">
        <v>91007</v>
      </c>
      <c r="D846" s="88" t="s">
        <v>1097</v>
      </c>
      <c r="E846" s="162" t="s">
        <v>340</v>
      </c>
      <c r="F846" s="455" t="s">
        <v>308</v>
      </c>
      <c r="G846" s="455"/>
      <c r="H846" s="387">
        <f>H847</f>
        <v>1</v>
      </c>
    </row>
    <row r="847" spans="2:8" s="65" customFormat="1" ht="20.100000000000001" customHeight="1" x14ac:dyDescent="0.25">
      <c r="B847" s="396"/>
      <c r="C847" s="232"/>
      <c r="D847" s="83" t="s">
        <v>1098</v>
      </c>
      <c r="E847" s="67" t="s">
        <v>340</v>
      </c>
      <c r="F847" s="461">
        <v>1</v>
      </c>
      <c r="G847" s="462"/>
      <c r="H847" s="402">
        <f>F847</f>
        <v>1</v>
      </c>
    </row>
    <row r="848" spans="2:8" s="65" customFormat="1" ht="32.25" customHeight="1" x14ac:dyDescent="0.25">
      <c r="B848" s="386" t="s">
        <v>1110</v>
      </c>
      <c r="C848" s="163">
        <v>91012</v>
      </c>
      <c r="D848" s="88" t="s">
        <v>1100</v>
      </c>
      <c r="E848" s="162" t="s">
        <v>29</v>
      </c>
      <c r="F848" s="455" t="s">
        <v>26</v>
      </c>
      <c r="G848" s="455"/>
      <c r="H848" s="387">
        <f>H849</f>
        <v>10</v>
      </c>
    </row>
    <row r="849" spans="2:8" s="65" customFormat="1" ht="20.100000000000001" customHeight="1" x14ac:dyDescent="0.25">
      <c r="B849" s="396"/>
      <c r="C849" s="232"/>
      <c r="D849" s="83" t="s">
        <v>1098</v>
      </c>
      <c r="E849" s="67" t="s">
        <v>29</v>
      </c>
      <c r="F849" s="461">
        <v>10</v>
      </c>
      <c r="G849" s="462"/>
      <c r="H849" s="402">
        <f>F849</f>
        <v>10</v>
      </c>
    </row>
    <row r="850" spans="2:8" s="65" customFormat="1" ht="32.25" customHeight="1" x14ac:dyDescent="0.25">
      <c r="B850" s="386" t="s">
        <v>1111</v>
      </c>
      <c r="C850" s="163">
        <v>91018</v>
      </c>
      <c r="D850" s="88" t="s">
        <v>1101</v>
      </c>
      <c r="E850" s="162" t="s">
        <v>340</v>
      </c>
      <c r="F850" s="455" t="s">
        <v>308</v>
      </c>
      <c r="G850" s="455"/>
      <c r="H850" s="387">
        <f>H851</f>
        <v>8</v>
      </c>
    </row>
    <row r="851" spans="2:8" s="65" customFormat="1" ht="20.100000000000001" customHeight="1" x14ac:dyDescent="0.25">
      <c r="B851" s="396"/>
      <c r="C851" s="232"/>
      <c r="D851" s="83" t="s">
        <v>1098</v>
      </c>
      <c r="E851" s="67" t="s">
        <v>340</v>
      </c>
      <c r="F851" s="461">
        <v>8</v>
      </c>
      <c r="G851" s="462"/>
      <c r="H851" s="402">
        <f>F851</f>
        <v>8</v>
      </c>
    </row>
    <row r="852" spans="2:8" s="65" customFormat="1" ht="32.25" customHeight="1" x14ac:dyDescent="0.25">
      <c r="B852" s="386" t="s">
        <v>1112</v>
      </c>
      <c r="C852" s="163">
        <v>91020</v>
      </c>
      <c r="D852" s="88" t="s">
        <v>1102</v>
      </c>
      <c r="E852" s="162" t="s">
        <v>340</v>
      </c>
      <c r="F852" s="455" t="s">
        <v>308</v>
      </c>
      <c r="G852" s="455"/>
      <c r="H852" s="387">
        <f>H853</f>
        <v>2</v>
      </c>
    </row>
    <row r="853" spans="2:8" s="65" customFormat="1" ht="20.100000000000001" customHeight="1" x14ac:dyDescent="0.25">
      <c r="B853" s="463"/>
      <c r="C853" s="464"/>
      <c r="D853" s="83" t="s">
        <v>1098</v>
      </c>
      <c r="E853" s="67" t="s">
        <v>340</v>
      </c>
      <c r="F853" s="461">
        <v>2</v>
      </c>
      <c r="G853" s="462"/>
      <c r="H853" s="402">
        <f>F853</f>
        <v>2</v>
      </c>
    </row>
    <row r="854" spans="2:8" s="65" customFormat="1" ht="32.25" customHeight="1" x14ac:dyDescent="0.25">
      <c r="B854" s="386" t="s">
        <v>1113</v>
      </c>
      <c r="C854" s="163">
        <v>91021</v>
      </c>
      <c r="D854" s="88" t="s">
        <v>1103</v>
      </c>
      <c r="E854" s="162" t="s">
        <v>340</v>
      </c>
      <c r="F854" s="455" t="s">
        <v>308</v>
      </c>
      <c r="G854" s="455"/>
      <c r="H854" s="387">
        <f>H855</f>
        <v>4</v>
      </c>
    </row>
    <row r="855" spans="2:8" s="65" customFormat="1" ht="20.100000000000001" customHeight="1" x14ac:dyDescent="0.25">
      <c r="B855" s="396"/>
      <c r="C855" s="232"/>
      <c r="D855" s="83" t="s">
        <v>1098</v>
      </c>
      <c r="E855" s="67" t="s">
        <v>340</v>
      </c>
      <c r="F855" s="461">
        <v>4</v>
      </c>
      <c r="G855" s="462"/>
      <c r="H855" s="402">
        <f>F855</f>
        <v>4</v>
      </c>
    </row>
    <row r="856" spans="2:8" s="65" customFormat="1" ht="32.25" customHeight="1" x14ac:dyDescent="0.25">
      <c r="B856" s="386" t="s">
        <v>1114</v>
      </c>
      <c r="C856" s="163">
        <v>91025</v>
      </c>
      <c r="D856" s="88" t="s">
        <v>1104</v>
      </c>
      <c r="E856" s="162" t="s">
        <v>340</v>
      </c>
      <c r="F856" s="455" t="s">
        <v>308</v>
      </c>
      <c r="G856" s="455"/>
      <c r="H856" s="387">
        <f>H857</f>
        <v>2</v>
      </c>
    </row>
    <row r="857" spans="2:8" s="65" customFormat="1" ht="20.100000000000001" customHeight="1" x14ac:dyDescent="0.25">
      <c r="B857" s="396"/>
      <c r="C857" s="232"/>
      <c r="D857" s="83" t="s">
        <v>1098</v>
      </c>
      <c r="E857" s="67" t="s">
        <v>340</v>
      </c>
      <c r="F857" s="461">
        <v>2</v>
      </c>
      <c r="G857" s="462"/>
      <c r="H857" s="402">
        <f>F857</f>
        <v>2</v>
      </c>
    </row>
    <row r="858" spans="2:8" s="65" customFormat="1" ht="32.25" customHeight="1" x14ac:dyDescent="0.25">
      <c r="B858" s="386" t="s">
        <v>1115</v>
      </c>
      <c r="C858" s="163">
        <v>91029</v>
      </c>
      <c r="D858" s="88" t="s">
        <v>1105</v>
      </c>
      <c r="E858" s="162" t="s">
        <v>340</v>
      </c>
      <c r="F858" s="455" t="s">
        <v>308</v>
      </c>
      <c r="G858" s="455"/>
      <c r="H858" s="387">
        <f>H859</f>
        <v>1</v>
      </c>
    </row>
    <row r="859" spans="2:8" s="65" customFormat="1" ht="20.100000000000001" customHeight="1" x14ac:dyDescent="0.25">
      <c r="B859" s="396"/>
      <c r="C859" s="232"/>
      <c r="D859" s="83" t="s">
        <v>1098</v>
      </c>
      <c r="E859" s="67" t="s">
        <v>340</v>
      </c>
      <c r="F859" s="461">
        <v>1</v>
      </c>
      <c r="G859" s="462"/>
      <c r="H859" s="402">
        <f>F859</f>
        <v>1</v>
      </c>
    </row>
    <row r="860" spans="2:8" s="65" customFormat="1" ht="32.25" customHeight="1" x14ac:dyDescent="0.25">
      <c r="B860" s="386" t="s">
        <v>1116</v>
      </c>
      <c r="C860" s="163">
        <v>91041</v>
      </c>
      <c r="D860" s="88" t="s">
        <v>1106</v>
      </c>
      <c r="E860" s="162" t="s">
        <v>340</v>
      </c>
      <c r="F860" s="455" t="s">
        <v>308</v>
      </c>
      <c r="G860" s="455"/>
      <c r="H860" s="387">
        <f>H861</f>
        <v>2</v>
      </c>
    </row>
    <row r="861" spans="2:8" s="65" customFormat="1" ht="20.100000000000001" customHeight="1" x14ac:dyDescent="0.25">
      <c r="B861" s="396"/>
      <c r="C861" s="232"/>
      <c r="D861" s="83" t="s">
        <v>1098</v>
      </c>
      <c r="E861" s="67" t="s">
        <v>340</v>
      </c>
      <c r="F861" s="461">
        <v>2</v>
      </c>
      <c r="G861" s="462"/>
      <c r="H861" s="402">
        <f>F861</f>
        <v>2</v>
      </c>
    </row>
    <row r="862" spans="2:8" s="65" customFormat="1" ht="32.25" customHeight="1" x14ac:dyDescent="0.25">
      <c r="B862" s="386" t="s">
        <v>1117</v>
      </c>
      <c r="C862" s="163">
        <v>91045</v>
      </c>
      <c r="D862" s="88" t="s">
        <v>1107</v>
      </c>
      <c r="E862" s="162" t="s">
        <v>340</v>
      </c>
      <c r="F862" s="455" t="s">
        <v>308</v>
      </c>
      <c r="G862" s="455"/>
      <c r="H862" s="387">
        <f>H863</f>
        <v>2</v>
      </c>
    </row>
    <row r="863" spans="2:8" s="65" customFormat="1" ht="20.100000000000001" customHeight="1" x14ac:dyDescent="0.25">
      <c r="B863" s="396"/>
      <c r="C863" s="232"/>
      <c r="D863" s="83" t="s">
        <v>1098</v>
      </c>
      <c r="E863" s="67" t="s">
        <v>340</v>
      </c>
      <c r="F863" s="461">
        <v>2</v>
      </c>
      <c r="G863" s="462"/>
      <c r="H863" s="402">
        <f>F863</f>
        <v>2</v>
      </c>
    </row>
    <row r="864" spans="2:8" s="65" customFormat="1" ht="32.25" customHeight="1" x14ac:dyDescent="0.25">
      <c r="B864" s="386" t="s">
        <v>1118</v>
      </c>
      <c r="C864" s="163">
        <v>91046</v>
      </c>
      <c r="D864" s="88" t="s">
        <v>1108</v>
      </c>
      <c r="E864" s="162" t="s">
        <v>340</v>
      </c>
      <c r="F864" s="455" t="s">
        <v>308</v>
      </c>
      <c r="G864" s="455"/>
      <c r="H864" s="387">
        <f>H865</f>
        <v>1</v>
      </c>
    </row>
    <row r="865" spans="1:8" s="65" customFormat="1" ht="20.100000000000001" customHeight="1" x14ac:dyDescent="0.25">
      <c r="B865" s="396"/>
      <c r="C865" s="232"/>
      <c r="D865" s="83" t="s">
        <v>1098</v>
      </c>
      <c r="E865" s="67" t="s">
        <v>340</v>
      </c>
      <c r="F865" s="461">
        <v>1</v>
      </c>
      <c r="G865" s="462"/>
      <c r="H865" s="402">
        <f>F865</f>
        <v>1</v>
      </c>
    </row>
    <row r="866" spans="1:8" s="65" customFormat="1" ht="32.25" customHeight="1" x14ac:dyDescent="0.25">
      <c r="B866" s="386" t="s">
        <v>1119</v>
      </c>
      <c r="C866" s="163">
        <v>91011</v>
      </c>
      <c r="D866" s="88" t="s">
        <v>1109</v>
      </c>
      <c r="E866" s="162" t="s">
        <v>340</v>
      </c>
      <c r="F866" s="455" t="s">
        <v>308</v>
      </c>
      <c r="G866" s="455"/>
      <c r="H866" s="387">
        <f>H867</f>
        <v>1</v>
      </c>
    </row>
    <row r="867" spans="1:8" s="137" customFormat="1" ht="32.25" customHeight="1" x14ac:dyDescent="0.25">
      <c r="A867" s="65"/>
      <c r="B867" s="406"/>
      <c r="C867" s="229"/>
      <c r="D867" s="83" t="s">
        <v>1098</v>
      </c>
      <c r="E867" s="67" t="s">
        <v>340</v>
      </c>
      <c r="F867" s="576">
        <v>1</v>
      </c>
      <c r="G867" s="577"/>
      <c r="H867" s="403">
        <f>F867</f>
        <v>1</v>
      </c>
    </row>
    <row r="868" spans="1:8" s="65" customFormat="1" ht="15.75" x14ac:dyDescent="0.25">
      <c r="B868" s="457" t="s">
        <v>744</v>
      </c>
      <c r="C868" s="458"/>
      <c r="D868" s="459"/>
      <c r="E868" s="459"/>
      <c r="F868" s="459"/>
      <c r="G868" s="459"/>
      <c r="H868" s="460"/>
    </row>
    <row r="869" spans="1:8" s="65" customFormat="1" ht="20.100000000000001" customHeight="1" x14ac:dyDescent="0.25">
      <c r="B869" s="377">
        <v>9</v>
      </c>
      <c r="C869" s="233">
        <v>100000</v>
      </c>
      <c r="D869" s="458" t="s">
        <v>745</v>
      </c>
      <c r="E869" s="458"/>
      <c r="F869" s="458"/>
      <c r="G869" s="458"/>
      <c r="H869" s="395" t="s">
        <v>755</v>
      </c>
    </row>
    <row r="870" spans="1:8" s="65" customFormat="1" ht="15.75" x14ac:dyDescent="0.25">
      <c r="A870" s="137"/>
      <c r="B870" s="386" t="s">
        <v>83</v>
      </c>
      <c r="C870" s="163">
        <v>100160</v>
      </c>
      <c r="D870" s="88" t="s">
        <v>746</v>
      </c>
      <c r="E870" s="162" t="s">
        <v>24</v>
      </c>
      <c r="F870" s="485" t="s">
        <v>747</v>
      </c>
      <c r="G870" s="486"/>
      <c r="H870" s="387">
        <f>H871+H872+H873+H874+H875+H877+H884+H886+H888+H891+H893+H902+H876</f>
        <v>253.61499999999998</v>
      </c>
    </row>
    <row r="871" spans="1:8" s="65" customFormat="1" ht="20.100000000000001" customHeight="1" x14ac:dyDescent="0.25">
      <c r="B871" s="388"/>
      <c r="C871" s="277"/>
      <c r="D871" s="83" t="s">
        <v>919</v>
      </c>
      <c r="E871" s="67" t="s">
        <v>24</v>
      </c>
      <c r="F871" s="461">
        <v>8</v>
      </c>
      <c r="G871" s="462"/>
      <c r="H871" s="402">
        <f>F871</f>
        <v>8</v>
      </c>
    </row>
    <row r="872" spans="1:8" s="65" customFormat="1" ht="15" x14ac:dyDescent="0.25">
      <c r="B872" s="389"/>
      <c r="C872" s="278"/>
      <c r="D872" s="83" t="s">
        <v>918</v>
      </c>
      <c r="E872" s="67" t="s">
        <v>24</v>
      </c>
      <c r="F872" s="461">
        <v>8</v>
      </c>
      <c r="G872" s="462"/>
      <c r="H872" s="402">
        <f t="shared" ref="H872:H875" si="38">F872</f>
        <v>8</v>
      </c>
    </row>
    <row r="873" spans="1:8" s="65" customFormat="1" ht="20.100000000000001" customHeight="1" x14ac:dyDescent="0.25">
      <c r="B873" s="389"/>
      <c r="C873" s="278"/>
      <c r="D873" s="83" t="s">
        <v>920</v>
      </c>
      <c r="E873" s="67" t="s">
        <v>24</v>
      </c>
      <c r="F873" s="461">
        <v>8</v>
      </c>
      <c r="G873" s="462"/>
      <c r="H873" s="402">
        <f t="shared" si="38"/>
        <v>8</v>
      </c>
    </row>
    <row r="874" spans="1:8" s="65" customFormat="1" ht="15" x14ac:dyDescent="0.25">
      <c r="B874" s="389"/>
      <c r="C874" s="278"/>
      <c r="D874" s="83" t="s">
        <v>923</v>
      </c>
      <c r="E874" s="67" t="s">
        <v>24</v>
      </c>
      <c r="F874" s="461">
        <v>8</v>
      </c>
      <c r="G874" s="462"/>
      <c r="H874" s="402">
        <f t="shared" si="38"/>
        <v>8</v>
      </c>
    </row>
    <row r="875" spans="1:8" s="65" customFormat="1" ht="20.100000000000001" customHeight="1" x14ac:dyDescent="0.25">
      <c r="B875" s="389"/>
      <c r="C875" s="278"/>
      <c r="D875" s="83" t="s">
        <v>924</v>
      </c>
      <c r="E875" s="67" t="s">
        <v>24</v>
      </c>
      <c r="F875" s="461">
        <v>8</v>
      </c>
      <c r="G875" s="462"/>
      <c r="H875" s="402">
        <f t="shared" si="38"/>
        <v>8</v>
      </c>
    </row>
    <row r="876" spans="1:8" s="65" customFormat="1" ht="20.100000000000001" customHeight="1" x14ac:dyDescent="0.25">
      <c r="B876" s="389"/>
      <c r="C876" s="278"/>
      <c r="D876" s="64" t="s">
        <v>1035</v>
      </c>
      <c r="E876" s="67" t="s">
        <v>24</v>
      </c>
      <c r="F876" s="340">
        <f>8.25+7.2+8.25+7.2</f>
        <v>30.9</v>
      </c>
      <c r="G876" s="66">
        <v>1.5</v>
      </c>
      <c r="H876" s="407">
        <f>F876*G876</f>
        <v>46.349999999999994</v>
      </c>
    </row>
    <row r="877" spans="1:8" s="65" customFormat="1" ht="20.100000000000001" customHeight="1" x14ac:dyDescent="0.25">
      <c r="B877" s="389"/>
      <c r="C877" s="278"/>
      <c r="D877" s="157" t="s">
        <v>748</v>
      </c>
      <c r="E877" s="158" t="s">
        <v>24</v>
      </c>
      <c r="F877" s="159" t="s">
        <v>26</v>
      </c>
      <c r="G877" s="159" t="s">
        <v>27</v>
      </c>
      <c r="H877" s="397">
        <f>SUM(H878:H883)</f>
        <v>32.414999999999999</v>
      </c>
    </row>
    <row r="878" spans="1:8" s="65" customFormat="1" ht="20.100000000000001" customHeight="1" x14ac:dyDescent="0.25">
      <c r="B878" s="389"/>
      <c r="C878" s="278"/>
      <c r="D878" s="83" t="s">
        <v>749</v>
      </c>
      <c r="E878" s="67" t="s">
        <v>24</v>
      </c>
      <c r="F878" s="337">
        <v>3.45</v>
      </c>
      <c r="G878" s="337">
        <v>3</v>
      </c>
      <c r="H878" s="402">
        <f>G878*F878</f>
        <v>10.350000000000001</v>
      </c>
    </row>
    <row r="879" spans="1:8" s="65" customFormat="1" ht="20.100000000000001" customHeight="1" x14ac:dyDescent="0.25">
      <c r="B879" s="389"/>
      <c r="C879" s="278"/>
      <c r="D879" s="83" t="s">
        <v>750</v>
      </c>
      <c r="E879" s="67" t="s">
        <v>24</v>
      </c>
      <c r="F879" s="337">
        <v>6</v>
      </c>
      <c r="G879" s="337">
        <v>3</v>
      </c>
      <c r="H879" s="402">
        <f t="shared" ref="H879:H883" si="39">G879*F879</f>
        <v>18</v>
      </c>
    </row>
    <row r="880" spans="1:8" s="65" customFormat="1" ht="20.100000000000001" customHeight="1" x14ac:dyDescent="0.25">
      <c r="B880" s="389"/>
      <c r="C880" s="278"/>
      <c r="D880" s="83" t="s">
        <v>751</v>
      </c>
      <c r="E880" s="67" t="s">
        <v>24</v>
      </c>
      <c r="F880" s="337">
        <v>3.3</v>
      </c>
      <c r="G880" s="337">
        <v>3</v>
      </c>
      <c r="H880" s="402">
        <f t="shared" si="39"/>
        <v>9.8999999999999986</v>
      </c>
    </row>
    <row r="881" spans="2:8" s="65" customFormat="1" ht="20.100000000000001" customHeight="1" x14ac:dyDescent="0.25">
      <c r="B881" s="389"/>
      <c r="C881" s="278"/>
      <c r="D881" s="83" t="s">
        <v>752</v>
      </c>
      <c r="E881" s="67" t="s">
        <v>24</v>
      </c>
      <c r="F881" s="337">
        <v>-1.9</v>
      </c>
      <c r="G881" s="337">
        <v>0.75</v>
      </c>
      <c r="H881" s="402">
        <f t="shared" si="39"/>
        <v>-1.4249999999999998</v>
      </c>
    </row>
    <row r="882" spans="2:8" s="65" customFormat="1" ht="20.100000000000001" customHeight="1" x14ac:dyDescent="0.25">
      <c r="B882" s="389"/>
      <c r="C882" s="278"/>
      <c r="D882" s="83" t="s">
        <v>753</v>
      </c>
      <c r="E882" s="67" t="s">
        <v>24</v>
      </c>
      <c r="F882" s="337">
        <v>-1.8</v>
      </c>
      <c r="G882" s="337">
        <v>1.4</v>
      </c>
      <c r="H882" s="402">
        <f t="shared" si="39"/>
        <v>-2.52</v>
      </c>
    </row>
    <row r="883" spans="2:8" s="65" customFormat="1" ht="20.100000000000001" customHeight="1" x14ac:dyDescent="0.25">
      <c r="B883" s="389"/>
      <c r="C883" s="278"/>
      <c r="D883" s="83" t="s">
        <v>754</v>
      </c>
      <c r="E883" s="67" t="s">
        <v>24</v>
      </c>
      <c r="F883" s="337">
        <v>-0.9</v>
      </c>
      <c r="G883" s="337">
        <v>2.1</v>
      </c>
      <c r="H883" s="402">
        <f t="shared" si="39"/>
        <v>-1.8900000000000001</v>
      </c>
    </row>
    <row r="884" spans="2:8" s="65" customFormat="1" ht="20.100000000000001" customHeight="1" x14ac:dyDescent="0.25">
      <c r="B884" s="389"/>
      <c r="C884" s="278"/>
      <c r="D884" s="157" t="s">
        <v>189</v>
      </c>
      <c r="E884" s="158" t="s">
        <v>24</v>
      </c>
      <c r="F884" s="159" t="s">
        <v>26</v>
      </c>
      <c r="G884" s="159" t="s">
        <v>31</v>
      </c>
      <c r="H884" s="397">
        <f>H885</f>
        <v>9.7799999999999994</v>
      </c>
    </row>
    <row r="885" spans="2:8" s="65" customFormat="1" ht="22.5" customHeight="1" x14ac:dyDescent="0.25">
      <c r="B885" s="389"/>
      <c r="C885" s="278"/>
      <c r="D885" s="83" t="s">
        <v>749</v>
      </c>
      <c r="E885" s="67" t="s">
        <v>24</v>
      </c>
      <c r="F885" s="331">
        <v>3.26</v>
      </c>
      <c r="G885" s="331">
        <v>3</v>
      </c>
      <c r="H885" s="402">
        <f>G885*F885</f>
        <v>9.7799999999999994</v>
      </c>
    </row>
    <row r="886" spans="2:8" s="65" customFormat="1" ht="20.100000000000001" customHeight="1" x14ac:dyDescent="0.25">
      <c r="B886" s="389"/>
      <c r="C886" s="278"/>
      <c r="D886" s="157" t="s">
        <v>137</v>
      </c>
      <c r="E886" s="158" t="s">
        <v>24</v>
      </c>
      <c r="F886" s="159" t="s">
        <v>26</v>
      </c>
      <c r="G886" s="159" t="s">
        <v>31</v>
      </c>
      <c r="H886" s="397">
        <f>H887</f>
        <v>3</v>
      </c>
    </row>
    <row r="887" spans="2:8" s="65" customFormat="1" ht="20.100000000000001" customHeight="1" x14ac:dyDescent="0.25">
      <c r="B887" s="389"/>
      <c r="C887" s="278"/>
      <c r="D887" s="83" t="s">
        <v>749</v>
      </c>
      <c r="E887" s="67" t="s">
        <v>24</v>
      </c>
      <c r="F887" s="331">
        <v>1</v>
      </c>
      <c r="G887" s="331">
        <v>3</v>
      </c>
      <c r="H887" s="402">
        <f>G887*F887</f>
        <v>3</v>
      </c>
    </row>
    <row r="888" spans="2:8" s="65" customFormat="1" ht="20.100000000000001" customHeight="1" x14ac:dyDescent="0.25">
      <c r="B888" s="389"/>
      <c r="C888" s="278"/>
      <c r="D888" s="157" t="s">
        <v>132</v>
      </c>
      <c r="E888" s="158" t="s">
        <v>24</v>
      </c>
      <c r="F888" s="159" t="s">
        <v>26</v>
      </c>
      <c r="G888" s="159" t="s">
        <v>31</v>
      </c>
      <c r="H888" s="397">
        <f>SUM(H889:H890)</f>
        <v>7.42</v>
      </c>
    </row>
    <row r="889" spans="2:8" s="65" customFormat="1" ht="20.100000000000001" customHeight="1" x14ac:dyDescent="0.25">
      <c r="B889" s="389"/>
      <c r="C889" s="278"/>
      <c r="D889" s="83" t="s">
        <v>749</v>
      </c>
      <c r="E889" s="67" t="s">
        <v>24</v>
      </c>
      <c r="F889" s="331">
        <v>3.64</v>
      </c>
      <c r="G889" s="331">
        <v>3</v>
      </c>
      <c r="H889" s="402">
        <f>G889*F889</f>
        <v>10.92</v>
      </c>
    </row>
    <row r="890" spans="2:8" s="65" customFormat="1" ht="20.100000000000001" customHeight="1" x14ac:dyDescent="0.25">
      <c r="B890" s="389"/>
      <c r="C890" s="278"/>
      <c r="D890" s="83" t="s">
        <v>756</v>
      </c>
      <c r="E890" s="67" t="s">
        <v>24</v>
      </c>
      <c r="F890" s="331">
        <v>-2.5</v>
      </c>
      <c r="G890" s="331">
        <v>1.4</v>
      </c>
      <c r="H890" s="402">
        <f>G890*F890</f>
        <v>-3.5</v>
      </c>
    </row>
    <row r="891" spans="2:8" s="65" customFormat="1" ht="20.100000000000001" customHeight="1" x14ac:dyDescent="0.25">
      <c r="B891" s="390"/>
      <c r="C891" s="279"/>
      <c r="D891" s="157" t="s">
        <v>133</v>
      </c>
      <c r="E891" s="158" t="s">
        <v>24</v>
      </c>
      <c r="F891" s="159" t="s">
        <v>26</v>
      </c>
      <c r="G891" s="159" t="s">
        <v>31</v>
      </c>
      <c r="H891" s="397">
        <f>H892</f>
        <v>3</v>
      </c>
    </row>
    <row r="892" spans="2:8" s="65" customFormat="1" ht="20.100000000000001" customHeight="1" x14ac:dyDescent="0.25">
      <c r="B892" s="388"/>
      <c r="C892" s="277"/>
      <c r="D892" s="83" t="s">
        <v>749</v>
      </c>
      <c r="E892" s="67" t="s">
        <v>24</v>
      </c>
      <c r="F892" s="331">
        <v>1</v>
      </c>
      <c r="G892" s="331">
        <v>3</v>
      </c>
      <c r="H892" s="402">
        <f>G892*F892</f>
        <v>3</v>
      </c>
    </row>
    <row r="893" spans="2:8" s="65" customFormat="1" ht="20.100000000000001" customHeight="1" x14ac:dyDescent="0.25">
      <c r="B893" s="389"/>
      <c r="C893" s="278"/>
      <c r="D893" s="157" t="s">
        <v>757</v>
      </c>
      <c r="E893" s="158" t="s">
        <v>24</v>
      </c>
      <c r="F893" s="159" t="s">
        <v>26</v>
      </c>
      <c r="G893" s="159" t="s">
        <v>31</v>
      </c>
      <c r="H893" s="397">
        <f>SUM(H894:H898)</f>
        <v>13.7</v>
      </c>
    </row>
    <row r="894" spans="2:8" s="65" customFormat="1" ht="20.100000000000001" customHeight="1" x14ac:dyDescent="0.25">
      <c r="B894" s="389"/>
      <c r="C894" s="278"/>
      <c r="D894" s="83" t="s">
        <v>749</v>
      </c>
      <c r="E894" s="67" t="s">
        <v>24</v>
      </c>
      <c r="F894" s="331">
        <v>2.2000000000000002</v>
      </c>
      <c r="G894" s="331">
        <v>3</v>
      </c>
      <c r="H894" s="402">
        <f>G894*F894</f>
        <v>6.6000000000000005</v>
      </c>
    </row>
    <row r="895" spans="2:8" s="65" customFormat="1" ht="20.100000000000001" customHeight="1" x14ac:dyDescent="0.25">
      <c r="B895" s="389"/>
      <c r="C895" s="278"/>
      <c r="D895" s="83" t="s">
        <v>750</v>
      </c>
      <c r="E895" s="67" t="s">
        <v>24</v>
      </c>
      <c r="F895" s="331">
        <v>1.26</v>
      </c>
      <c r="G895" s="331">
        <v>3</v>
      </c>
      <c r="H895" s="402">
        <f t="shared" ref="H895:H901" si="40">G895*F895</f>
        <v>3.7800000000000002</v>
      </c>
    </row>
    <row r="896" spans="2:8" s="65" customFormat="1" ht="20.100000000000001" customHeight="1" x14ac:dyDescent="0.25">
      <c r="B896" s="389"/>
      <c r="C896" s="278"/>
      <c r="D896" s="83" t="s">
        <v>751</v>
      </c>
      <c r="E896" s="67" t="s">
        <v>24</v>
      </c>
      <c r="F896" s="331">
        <v>2.2000000000000002</v>
      </c>
      <c r="G896" s="331">
        <v>3</v>
      </c>
      <c r="H896" s="402">
        <f t="shared" si="40"/>
        <v>6.6000000000000005</v>
      </c>
    </row>
    <row r="897" spans="2:8" s="65" customFormat="1" ht="20.100000000000001" customHeight="1" x14ac:dyDescent="0.25">
      <c r="B897" s="389"/>
      <c r="C897" s="278"/>
      <c r="D897" s="83" t="s">
        <v>758</v>
      </c>
      <c r="E897" s="67" t="s">
        <v>24</v>
      </c>
      <c r="F897" s="331">
        <v>-1.2</v>
      </c>
      <c r="G897" s="331">
        <v>2</v>
      </c>
      <c r="H897" s="402">
        <f t="shared" si="40"/>
        <v>-2.4</v>
      </c>
    </row>
    <row r="898" spans="2:8" s="65" customFormat="1" ht="20.100000000000001" customHeight="1" x14ac:dyDescent="0.25">
      <c r="B898" s="389"/>
      <c r="C898" s="278"/>
      <c r="D898" s="83" t="s">
        <v>759</v>
      </c>
      <c r="E898" s="67" t="s">
        <v>24</v>
      </c>
      <c r="F898" s="331">
        <v>-2.2000000000000002</v>
      </c>
      <c r="G898" s="331">
        <v>0.4</v>
      </c>
      <c r="H898" s="402">
        <f t="shared" si="40"/>
        <v>-0.88000000000000012</v>
      </c>
    </row>
    <row r="899" spans="2:8" s="65" customFormat="1" ht="20.100000000000001" customHeight="1" x14ac:dyDescent="0.25">
      <c r="B899" s="389"/>
      <c r="C899" s="278"/>
      <c r="D899" s="83" t="s">
        <v>760</v>
      </c>
      <c r="E899" s="67" t="s">
        <v>24</v>
      </c>
      <c r="F899" s="331">
        <v>3.85</v>
      </c>
      <c r="G899" s="331">
        <v>2.2000000000000002</v>
      </c>
      <c r="H899" s="402">
        <f t="shared" si="40"/>
        <v>8.4700000000000006</v>
      </c>
    </row>
    <row r="900" spans="2:8" s="65" customFormat="1" ht="20.100000000000001" customHeight="1" x14ac:dyDescent="0.25">
      <c r="B900" s="389"/>
      <c r="C900" s="278"/>
      <c r="D900" s="83" t="s">
        <v>758</v>
      </c>
      <c r="E900" s="67" t="s">
        <v>24</v>
      </c>
      <c r="F900" s="331">
        <v>-1.2</v>
      </c>
      <c r="G900" s="331">
        <v>2</v>
      </c>
      <c r="H900" s="402">
        <f t="shared" si="40"/>
        <v>-2.4</v>
      </c>
    </row>
    <row r="901" spans="2:8" s="65" customFormat="1" ht="20.100000000000001" customHeight="1" x14ac:dyDescent="0.25">
      <c r="B901" s="389"/>
      <c r="C901" s="278"/>
      <c r="D901" s="83" t="s">
        <v>759</v>
      </c>
      <c r="E901" s="67" t="s">
        <v>24</v>
      </c>
      <c r="F901" s="331">
        <v>-2.2000000000000002</v>
      </c>
      <c r="G901" s="331">
        <v>0.4</v>
      </c>
      <c r="H901" s="402">
        <f t="shared" si="40"/>
        <v>-0.88000000000000012</v>
      </c>
    </row>
    <row r="902" spans="2:8" s="65" customFormat="1" ht="20.100000000000001" customHeight="1" x14ac:dyDescent="0.25">
      <c r="B902" s="389"/>
      <c r="C902" s="278"/>
      <c r="D902" s="157" t="s">
        <v>969</v>
      </c>
      <c r="E902" s="158" t="s">
        <v>24</v>
      </c>
      <c r="F902" s="159" t="s">
        <v>26</v>
      </c>
      <c r="G902" s="159" t="s">
        <v>31</v>
      </c>
      <c r="H902" s="397">
        <f>SUM(H903:H906)</f>
        <v>97.95</v>
      </c>
    </row>
    <row r="903" spans="2:8" s="65" customFormat="1" ht="20.100000000000001" customHeight="1" x14ac:dyDescent="0.25">
      <c r="B903" s="389"/>
      <c r="C903" s="278"/>
      <c r="D903" s="83" t="s">
        <v>970</v>
      </c>
      <c r="E903" s="67" t="s">
        <v>24</v>
      </c>
      <c r="F903" s="331">
        <v>51.7</v>
      </c>
      <c r="G903" s="331">
        <v>0.6</v>
      </c>
      <c r="H903" s="402">
        <f>F903*G903</f>
        <v>31.02</v>
      </c>
    </row>
    <row r="904" spans="2:8" s="65" customFormat="1" ht="20.100000000000001" customHeight="1" x14ac:dyDescent="0.25">
      <c r="B904" s="389"/>
      <c r="C904" s="278"/>
      <c r="D904" s="83" t="s">
        <v>972</v>
      </c>
      <c r="E904" s="67" t="s">
        <v>24</v>
      </c>
      <c r="F904" s="331">
        <f>4.35+5.5</f>
        <v>9.85</v>
      </c>
      <c r="G904" s="331">
        <v>0.6</v>
      </c>
      <c r="H904" s="402">
        <f>F904*G904</f>
        <v>5.9099999999999993</v>
      </c>
    </row>
    <row r="905" spans="2:8" s="65" customFormat="1" ht="20.100000000000001" customHeight="1" x14ac:dyDescent="0.25">
      <c r="B905" s="389"/>
      <c r="C905" s="278"/>
      <c r="D905" s="83" t="s">
        <v>971</v>
      </c>
      <c r="E905" s="67" t="s">
        <v>24</v>
      </c>
      <c r="F905" s="331">
        <v>51.7</v>
      </c>
      <c r="G905" s="331">
        <v>0.6</v>
      </c>
      <c r="H905" s="402">
        <f>F905*G905</f>
        <v>31.02</v>
      </c>
    </row>
    <row r="906" spans="2:8" s="65" customFormat="1" ht="20.100000000000001" customHeight="1" x14ac:dyDescent="0.25">
      <c r="B906" s="396"/>
      <c r="C906" s="322"/>
      <c r="D906" s="83" t="s">
        <v>1062</v>
      </c>
      <c r="E906" s="67" t="s">
        <v>24</v>
      </c>
      <c r="F906" s="461">
        <v>30</v>
      </c>
      <c r="G906" s="462"/>
      <c r="H906" s="402">
        <f>F906</f>
        <v>30</v>
      </c>
    </row>
    <row r="907" spans="2:8" s="65" customFormat="1" ht="20.100000000000001" customHeight="1" x14ac:dyDescent="0.25">
      <c r="B907" s="386" t="s">
        <v>106</v>
      </c>
      <c r="C907" s="163">
        <v>100320</v>
      </c>
      <c r="D907" s="88" t="s">
        <v>952</v>
      </c>
      <c r="E907" s="162" t="s">
        <v>24</v>
      </c>
      <c r="F907" s="330" t="s">
        <v>26</v>
      </c>
      <c r="G907" s="330" t="s">
        <v>27</v>
      </c>
      <c r="H907" s="387">
        <f>SUM(H908+H911+H914+H920)</f>
        <v>18.720000000000002</v>
      </c>
    </row>
    <row r="908" spans="2:8" s="65" customFormat="1" ht="20.100000000000001" customHeight="1" x14ac:dyDescent="0.25">
      <c r="B908" s="547"/>
      <c r="C908" s="555"/>
      <c r="D908" s="157" t="s">
        <v>953</v>
      </c>
      <c r="E908" s="158" t="s">
        <v>24</v>
      </c>
      <c r="F908" s="159" t="s">
        <v>26</v>
      </c>
      <c r="G908" s="159" t="s">
        <v>27</v>
      </c>
      <c r="H908" s="397">
        <f>SUM(H909:H910)</f>
        <v>3.06</v>
      </c>
    </row>
    <row r="909" spans="2:8" s="65" customFormat="1" ht="20.100000000000001" customHeight="1" x14ac:dyDescent="0.2">
      <c r="B909" s="556"/>
      <c r="C909" s="557"/>
      <c r="D909" s="164" t="s">
        <v>954</v>
      </c>
      <c r="E909" s="67" t="s">
        <v>24</v>
      </c>
      <c r="F909" s="66">
        <v>0.85</v>
      </c>
      <c r="G909" s="66">
        <v>1.8</v>
      </c>
      <c r="H909" s="407">
        <v>1.53</v>
      </c>
    </row>
    <row r="910" spans="2:8" s="65" customFormat="1" ht="20.100000000000001" customHeight="1" x14ac:dyDescent="0.2">
      <c r="B910" s="556"/>
      <c r="C910" s="557"/>
      <c r="D910" s="164" t="s">
        <v>955</v>
      </c>
      <c r="E910" s="67" t="s">
        <v>24</v>
      </c>
      <c r="F910" s="66">
        <v>0.85</v>
      </c>
      <c r="G910" s="66">
        <v>1.8</v>
      </c>
      <c r="H910" s="407">
        <v>1.53</v>
      </c>
    </row>
    <row r="911" spans="2:8" s="65" customFormat="1" ht="20.100000000000001" customHeight="1" x14ac:dyDescent="0.25">
      <c r="B911" s="556"/>
      <c r="C911" s="557"/>
      <c r="D911" s="157" t="s">
        <v>785</v>
      </c>
      <c r="E911" s="158" t="s">
        <v>24</v>
      </c>
      <c r="F911" s="159" t="s">
        <v>26</v>
      </c>
      <c r="G911" s="159" t="s">
        <v>27</v>
      </c>
      <c r="H911" s="397">
        <f>SUM(H912:H913)</f>
        <v>3.06</v>
      </c>
    </row>
    <row r="912" spans="2:8" s="65" customFormat="1" ht="20.100000000000001" customHeight="1" x14ac:dyDescent="0.2">
      <c r="B912" s="556"/>
      <c r="C912" s="557"/>
      <c r="D912" s="164" t="s">
        <v>956</v>
      </c>
      <c r="E912" s="67" t="s">
        <v>24</v>
      </c>
      <c r="F912" s="66">
        <v>0.85</v>
      </c>
      <c r="G912" s="66">
        <v>1.8</v>
      </c>
      <c r="H912" s="407">
        <v>1.53</v>
      </c>
    </row>
    <row r="913" spans="2:8" s="65" customFormat="1" ht="20.100000000000001" customHeight="1" x14ac:dyDescent="0.2">
      <c r="B913" s="556"/>
      <c r="C913" s="557"/>
      <c r="D913" s="164" t="s">
        <v>957</v>
      </c>
      <c r="E913" s="67" t="s">
        <v>24</v>
      </c>
      <c r="F913" s="66">
        <v>0.85</v>
      </c>
      <c r="G913" s="66">
        <v>1.8</v>
      </c>
      <c r="H913" s="407">
        <v>1.53</v>
      </c>
    </row>
    <row r="914" spans="2:8" s="65" customFormat="1" ht="20.100000000000001" customHeight="1" x14ac:dyDescent="0.25">
      <c r="B914" s="556"/>
      <c r="C914" s="557"/>
      <c r="D914" s="157" t="s">
        <v>193</v>
      </c>
      <c r="E914" s="158" t="s">
        <v>24</v>
      </c>
      <c r="F914" s="159" t="s">
        <v>26</v>
      </c>
      <c r="G914" s="159" t="s">
        <v>27</v>
      </c>
      <c r="H914" s="397">
        <f>SUM(H915:H919)</f>
        <v>6.3000000000000007</v>
      </c>
    </row>
    <row r="915" spans="2:8" s="65" customFormat="1" ht="20.100000000000001" customHeight="1" x14ac:dyDescent="0.2">
      <c r="B915" s="556"/>
      <c r="C915" s="557"/>
      <c r="D915" s="164" t="s">
        <v>958</v>
      </c>
      <c r="E915" s="67" t="s">
        <v>24</v>
      </c>
      <c r="F915" s="66">
        <v>0.4</v>
      </c>
      <c r="G915" s="66">
        <v>1.8</v>
      </c>
      <c r="H915" s="407">
        <v>0.72000000000000008</v>
      </c>
    </row>
    <row r="916" spans="2:8" s="65" customFormat="1" ht="20.100000000000001" customHeight="1" x14ac:dyDescent="0.2">
      <c r="B916" s="556"/>
      <c r="C916" s="557"/>
      <c r="D916" s="164" t="s">
        <v>959</v>
      </c>
      <c r="E916" s="67" t="s">
        <v>24</v>
      </c>
      <c r="F916" s="66">
        <v>1.2</v>
      </c>
      <c r="G916" s="66">
        <v>1.8</v>
      </c>
      <c r="H916" s="407">
        <v>2.16</v>
      </c>
    </row>
    <row r="917" spans="2:8" s="65" customFormat="1" ht="20.100000000000001" customHeight="1" x14ac:dyDescent="0.2">
      <c r="B917" s="556"/>
      <c r="C917" s="557"/>
      <c r="D917" s="164" t="s">
        <v>960</v>
      </c>
      <c r="E917" s="67" t="s">
        <v>24</v>
      </c>
      <c r="F917" s="66">
        <v>0.4</v>
      </c>
      <c r="G917" s="66">
        <v>1.8</v>
      </c>
      <c r="H917" s="407">
        <v>0.72000000000000008</v>
      </c>
    </row>
    <row r="918" spans="2:8" s="65" customFormat="1" ht="20.100000000000001" customHeight="1" x14ac:dyDescent="0.2">
      <c r="B918" s="556"/>
      <c r="C918" s="557"/>
      <c r="D918" s="164" t="s">
        <v>961</v>
      </c>
      <c r="E918" s="67" t="s">
        <v>24</v>
      </c>
      <c r="F918" s="66">
        <v>1.2</v>
      </c>
      <c r="G918" s="66">
        <v>1.8</v>
      </c>
      <c r="H918" s="407">
        <v>2.16</v>
      </c>
    </row>
    <row r="919" spans="2:8" s="65" customFormat="1" ht="20.100000000000001" customHeight="1" x14ac:dyDescent="0.2">
      <c r="B919" s="556"/>
      <c r="C919" s="557"/>
      <c r="D919" s="164" t="s">
        <v>962</v>
      </c>
      <c r="E919" s="67" t="s">
        <v>24</v>
      </c>
      <c r="F919" s="66">
        <v>0.3</v>
      </c>
      <c r="G919" s="66">
        <v>1.8</v>
      </c>
      <c r="H919" s="407">
        <v>0.54</v>
      </c>
    </row>
    <row r="920" spans="2:8" s="65" customFormat="1" ht="20.100000000000001" customHeight="1" x14ac:dyDescent="0.25">
      <c r="B920" s="556"/>
      <c r="C920" s="557"/>
      <c r="D920" s="157" t="s">
        <v>194</v>
      </c>
      <c r="E920" s="158" t="s">
        <v>24</v>
      </c>
      <c r="F920" s="159" t="s">
        <v>26</v>
      </c>
      <c r="G920" s="159" t="s">
        <v>27</v>
      </c>
      <c r="H920" s="397">
        <f>SUM(H921:H925)</f>
        <v>6.3000000000000007</v>
      </c>
    </row>
    <row r="921" spans="2:8" s="65" customFormat="1" ht="20.100000000000001" customHeight="1" x14ac:dyDescent="0.2">
      <c r="B921" s="556"/>
      <c r="C921" s="557"/>
      <c r="D921" s="164" t="s">
        <v>963</v>
      </c>
      <c r="E921" s="67" t="s">
        <v>24</v>
      </c>
      <c r="F921" s="66">
        <v>0.4</v>
      </c>
      <c r="G921" s="66">
        <v>1.8</v>
      </c>
      <c r="H921" s="407">
        <v>0.72000000000000008</v>
      </c>
    </row>
    <row r="922" spans="2:8" s="65" customFormat="1" ht="20.100000000000001" customHeight="1" x14ac:dyDescent="0.2">
      <c r="B922" s="556"/>
      <c r="C922" s="557"/>
      <c r="D922" s="164" t="s">
        <v>964</v>
      </c>
      <c r="E922" s="67" t="s">
        <v>24</v>
      </c>
      <c r="F922" s="66">
        <v>1.2</v>
      </c>
      <c r="G922" s="66">
        <v>1.8</v>
      </c>
      <c r="H922" s="407">
        <v>2.16</v>
      </c>
    </row>
    <row r="923" spans="2:8" s="65" customFormat="1" ht="20.100000000000001" customHeight="1" x14ac:dyDescent="0.2">
      <c r="B923" s="556"/>
      <c r="C923" s="557"/>
      <c r="D923" s="164" t="s">
        <v>965</v>
      </c>
      <c r="E923" s="67" t="s">
        <v>24</v>
      </c>
      <c r="F923" s="66">
        <v>0.4</v>
      </c>
      <c r="G923" s="66">
        <v>1.8</v>
      </c>
      <c r="H923" s="407">
        <v>0.72000000000000008</v>
      </c>
    </row>
    <row r="924" spans="2:8" s="65" customFormat="1" ht="20.100000000000001" customHeight="1" x14ac:dyDescent="0.2">
      <c r="B924" s="556"/>
      <c r="C924" s="557"/>
      <c r="D924" s="164" t="s">
        <v>966</v>
      </c>
      <c r="E924" s="67" t="s">
        <v>24</v>
      </c>
      <c r="F924" s="66">
        <v>1.2</v>
      </c>
      <c r="G924" s="66">
        <v>1.8</v>
      </c>
      <c r="H924" s="407">
        <v>2.16</v>
      </c>
    </row>
    <row r="925" spans="2:8" s="65" customFormat="1" ht="20.100000000000001" customHeight="1" x14ac:dyDescent="0.2">
      <c r="B925" s="549"/>
      <c r="C925" s="558"/>
      <c r="D925" s="164" t="s">
        <v>967</v>
      </c>
      <c r="E925" s="67" t="s">
        <v>24</v>
      </c>
      <c r="F925" s="66">
        <v>0.3</v>
      </c>
      <c r="G925" s="66">
        <v>1.8</v>
      </c>
      <c r="H925" s="407">
        <v>0.54</v>
      </c>
    </row>
    <row r="926" spans="2:8" s="65" customFormat="1" ht="20.100000000000001" customHeight="1" x14ac:dyDescent="0.25">
      <c r="B926" s="386" t="s">
        <v>1052</v>
      </c>
      <c r="C926" s="163">
        <v>100502</v>
      </c>
      <c r="D926" s="80" t="s">
        <v>1053</v>
      </c>
      <c r="E926" s="162" t="s">
        <v>24</v>
      </c>
      <c r="F926" s="330" t="s">
        <v>26</v>
      </c>
      <c r="G926" s="330" t="s">
        <v>31</v>
      </c>
      <c r="H926" s="387">
        <f>SUM(H927:H928)</f>
        <v>1.7600000000000002</v>
      </c>
    </row>
    <row r="927" spans="2:8" s="65" customFormat="1" ht="20.100000000000001" customHeight="1" x14ac:dyDescent="0.2">
      <c r="B927" s="547"/>
      <c r="C927" s="548"/>
      <c r="D927" s="164" t="s">
        <v>1054</v>
      </c>
      <c r="E927" s="67" t="s">
        <v>24</v>
      </c>
      <c r="F927" s="66">
        <v>2.2000000000000002</v>
      </c>
      <c r="G927" s="66">
        <v>0.4</v>
      </c>
      <c r="H927" s="407">
        <f>G927*F927</f>
        <v>0.88000000000000012</v>
      </c>
    </row>
    <row r="928" spans="2:8" s="65" customFormat="1" ht="20.100000000000001" customHeight="1" x14ac:dyDescent="0.2">
      <c r="B928" s="549"/>
      <c r="C928" s="550"/>
      <c r="D928" s="164" t="s">
        <v>757</v>
      </c>
      <c r="E928" s="67" t="s">
        <v>24</v>
      </c>
      <c r="F928" s="66">
        <v>2.2000000000000002</v>
      </c>
      <c r="G928" s="66">
        <v>0.4</v>
      </c>
      <c r="H928" s="407">
        <f>G928*F928</f>
        <v>0.88000000000000012</v>
      </c>
    </row>
    <row r="929" spans="2:8" s="65" customFormat="1" ht="20.100000000000001" customHeight="1" x14ac:dyDescent="0.25">
      <c r="B929" s="457" t="s">
        <v>383</v>
      </c>
      <c r="C929" s="458"/>
      <c r="D929" s="459"/>
      <c r="E929" s="459"/>
      <c r="F929" s="459"/>
      <c r="G929" s="459"/>
      <c r="H929" s="460"/>
    </row>
    <row r="930" spans="2:8" s="65" customFormat="1" ht="20.100000000000001" customHeight="1" x14ac:dyDescent="0.25">
      <c r="B930" s="377">
        <v>10</v>
      </c>
      <c r="C930" s="233">
        <v>120000</v>
      </c>
      <c r="D930" s="458" t="s">
        <v>71</v>
      </c>
      <c r="E930" s="458"/>
      <c r="F930" s="458"/>
      <c r="G930" s="458"/>
      <c r="H930" s="395" t="s">
        <v>74</v>
      </c>
    </row>
    <row r="931" spans="2:8" s="65" customFormat="1" ht="20.100000000000001" customHeight="1" x14ac:dyDescent="0.25">
      <c r="B931" s="386" t="s">
        <v>94</v>
      </c>
      <c r="C931" s="163">
        <v>120208</v>
      </c>
      <c r="D931" s="80" t="s">
        <v>384</v>
      </c>
      <c r="E931" s="162" t="s">
        <v>24</v>
      </c>
      <c r="F931" s="330" t="s">
        <v>26</v>
      </c>
      <c r="G931" s="330" t="s">
        <v>27</v>
      </c>
      <c r="H931" s="387">
        <f>H932+H934+H936+H938+H940+H942+H944</f>
        <v>170.0215</v>
      </c>
    </row>
    <row r="932" spans="2:8" s="65" customFormat="1" ht="20.100000000000001" customHeight="1" x14ac:dyDescent="0.25">
      <c r="B932" s="465"/>
      <c r="C932" s="466"/>
      <c r="D932" s="166" t="s">
        <v>121</v>
      </c>
      <c r="E932" s="167" t="s">
        <v>24</v>
      </c>
      <c r="F932" s="159" t="s">
        <v>26</v>
      </c>
      <c r="G932" s="159" t="s">
        <v>27</v>
      </c>
      <c r="H932" s="408">
        <f>H933</f>
        <v>48.4</v>
      </c>
    </row>
    <row r="933" spans="2:8" s="65" customFormat="1" ht="20.100000000000001" customHeight="1" x14ac:dyDescent="0.25">
      <c r="B933" s="473"/>
      <c r="C933" s="474"/>
      <c r="D933" s="61" t="s">
        <v>381</v>
      </c>
      <c r="E933" s="340" t="s">
        <v>24</v>
      </c>
      <c r="F933" s="338">
        <v>8</v>
      </c>
      <c r="G933" s="338">
        <v>6.05</v>
      </c>
      <c r="H933" s="385">
        <f t="shared" ref="H933" si="41">G933*F933</f>
        <v>48.4</v>
      </c>
    </row>
    <row r="934" spans="2:8" s="65" customFormat="1" ht="20.100000000000001" customHeight="1" x14ac:dyDescent="0.25">
      <c r="B934" s="467"/>
      <c r="C934" s="468"/>
      <c r="D934" s="166" t="s">
        <v>382</v>
      </c>
      <c r="E934" s="167" t="s">
        <v>24</v>
      </c>
      <c r="F934" s="159" t="s">
        <v>26</v>
      </c>
      <c r="G934" s="159" t="s">
        <v>27</v>
      </c>
      <c r="H934" s="408">
        <f>H935</f>
        <v>4</v>
      </c>
    </row>
    <row r="935" spans="2:8" s="65" customFormat="1" ht="20.100000000000001" customHeight="1" x14ac:dyDescent="0.25">
      <c r="B935" s="465"/>
      <c r="C935" s="466"/>
      <c r="D935" s="61" t="s">
        <v>381</v>
      </c>
      <c r="E935" s="340" t="s">
        <v>24</v>
      </c>
      <c r="F935" s="338">
        <v>2</v>
      </c>
      <c r="G935" s="338">
        <v>2</v>
      </c>
      <c r="H935" s="385">
        <f t="shared" ref="H935" si="42">G935*F935</f>
        <v>4</v>
      </c>
    </row>
    <row r="936" spans="2:8" s="65" customFormat="1" ht="20.100000000000001" customHeight="1" x14ac:dyDescent="0.25">
      <c r="B936" s="473"/>
      <c r="C936" s="474"/>
      <c r="D936" s="166" t="s">
        <v>392</v>
      </c>
      <c r="E936" s="167" t="s">
        <v>24</v>
      </c>
      <c r="F936" s="159" t="s">
        <v>26</v>
      </c>
      <c r="G936" s="159" t="s">
        <v>27</v>
      </c>
      <c r="H936" s="408">
        <f>H937</f>
        <v>54.923999999999999</v>
      </c>
    </row>
    <row r="937" spans="2:8" s="65" customFormat="1" ht="20.100000000000001" customHeight="1" x14ac:dyDescent="0.25">
      <c r="B937" s="473"/>
      <c r="C937" s="474"/>
      <c r="D937" s="83" t="s">
        <v>393</v>
      </c>
      <c r="E937" s="340" t="s">
        <v>24</v>
      </c>
      <c r="F937" s="331">
        <v>7.96</v>
      </c>
      <c r="G937" s="331">
        <v>6.9</v>
      </c>
      <c r="H937" s="402">
        <f>G937*F937</f>
        <v>54.923999999999999</v>
      </c>
    </row>
    <row r="938" spans="2:8" s="65" customFormat="1" ht="20.100000000000001" customHeight="1" x14ac:dyDescent="0.25">
      <c r="B938" s="473"/>
      <c r="C938" s="474"/>
      <c r="D938" s="166" t="s">
        <v>147</v>
      </c>
      <c r="E938" s="167" t="s">
        <v>24</v>
      </c>
      <c r="F938" s="159" t="s">
        <v>26</v>
      </c>
      <c r="G938" s="159" t="s">
        <v>27</v>
      </c>
      <c r="H938" s="408">
        <f>H939</f>
        <v>12.740500000000001</v>
      </c>
    </row>
    <row r="939" spans="2:8" s="65" customFormat="1" ht="20.100000000000001" customHeight="1" x14ac:dyDescent="0.25">
      <c r="B939" s="473"/>
      <c r="C939" s="474"/>
      <c r="D939" s="83" t="s">
        <v>394</v>
      </c>
      <c r="E939" s="340" t="s">
        <v>24</v>
      </c>
      <c r="F939" s="331">
        <v>3.07</v>
      </c>
      <c r="G939" s="331">
        <v>4.1500000000000004</v>
      </c>
      <c r="H939" s="402">
        <f t="shared" ref="H939:H941" si="43">G939*F939</f>
        <v>12.740500000000001</v>
      </c>
    </row>
    <row r="940" spans="2:8" s="65" customFormat="1" ht="20.100000000000001" customHeight="1" x14ac:dyDescent="0.25">
      <c r="B940" s="473"/>
      <c r="C940" s="474"/>
      <c r="D940" s="166" t="s">
        <v>364</v>
      </c>
      <c r="E940" s="167" t="s">
        <v>24</v>
      </c>
      <c r="F940" s="159" t="s">
        <v>26</v>
      </c>
      <c r="G940" s="159" t="s">
        <v>27</v>
      </c>
      <c r="H940" s="408">
        <f>H941</f>
        <v>19.494499999999999</v>
      </c>
    </row>
    <row r="941" spans="2:8" s="65" customFormat="1" ht="20.100000000000001" customHeight="1" x14ac:dyDescent="0.25">
      <c r="B941" s="473"/>
      <c r="C941" s="474"/>
      <c r="D941" s="83" t="s">
        <v>393</v>
      </c>
      <c r="E941" s="340" t="s">
        <v>24</v>
      </c>
      <c r="F941" s="331">
        <v>3.07</v>
      </c>
      <c r="G941" s="331">
        <v>6.35</v>
      </c>
      <c r="H941" s="402">
        <f t="shared" si="43"/>
        <v>19.494499999999999</v>
      </c>
    </row>
    <row r="942" spans="2:8" s="65" customFormat="1" ht="20.100000000000001" customHeight="1" x14ac:dyDescent="0.25">
      <c r="B942" s="473"/>
      <c r="C942" s="474"/>
      <c r="D942" s="166" t="s">
        <v>354</v>
      </c>
      <c r="E942" s="167" t="s">
        <v>24</v>
      </c>
      <c r="F942" s="159" t="s">
        <v>26</v>
      </c>
      <c r="G942" s="159" t="s">
        <v>27</v>
      </c>
      <c r="H942" s="408">
        <f>H943</f>
        <v>2.0099999999999998</v>
      </c>
    </row>
    <row r="943" spans="2:8" s="65" customFormat="1" ht="20.100000000000001" customHeight="1" x14ac:dyDescent="0.25">
      <c r="B943" s="473"/>
      <c r="C943" s="474"/>
      <c r="D943" s="83" t="s">
        <v>394</v>
      </c>
      <c r="E943" s="340" t="s">
        <v>24</v>
      </c>
      <c r="F943" s="331">
        <v>3.07</v>
      </c>
      <c r="G943" s="331">
        <v>2.0099999999999998</v>
      </c>
      <c r="H943" s="402">
        <f>G943</f>
        <v>2.0099999999999998</v>
      </c>
    </row>
    <row r="944" spans="2:8" s="65" customFormat="1" ht="20.100000000000001" customHeight="1" x14ac:dyDescent="0.25">
      <c r="B944" s="473"/>
      <c r="C944" s="474"/>
      <c r="D944" s="166" t="s">
        <v>397</v>
      </c>
      <c r="E944" s="167" t="s">
        <v>24</v>
      </c>
      <c r="F944" s="159" t="s">
        <v>26</v>
      </c>
      <c r="G944" s="159" t="s">
        <v>27</v>
      </c>
      <c r="H944" s="408">
        <f>SUM(H945:H957)</f>
        <v>28.452500000000001</v>
      </c>
    </row>
    <row r="945" spans="2:8" s="65" customFormat="1" ht="20.100000000000001" customHeight="1" x14ac:dyDescent="0.25">
      <c r="B945" s="473"/>
      <c r="C945" s="474"/>
      <c r="D945" s="61" t="s">
        <v>393</v>
      </c>
      <c r="E945" s="340" t="s">
        <v>24</v>
      </c>
      <c r="F945" s="338">
        <v>3.35</v>
      </c>
      <c r="G945" s="338">
        <v>2.1</v>
      </c>
      <c r="H945" s="385">
        <f>G945*F945</f>
        <v>7.0350000000000001</v>
      </c>
    </row>
    <row r="946" spans="2:8" s="65" customFormat="1" ht="20.100000000000001" customHeight="1" x14ac:dyDescent="0.25">
      <c r="B946" s="473"/>
      <c r="C946" s="474"/>
      <c r="D946" s="61" t="s">
        <v>843</v>
      </c>
      <c r="E946" s="340" t="s">
        <v>24</v>
      </c>
      <c r="F946" s="338">
        <f>6.9+0.15+0.15+0.15+1.6+6.9+0.15+1.6</f>
        <v>17.600000000000001</v>
      </c>
      <c r="G946" s="338">
        <v>1.5</v>
      </c>
      <c r="H946" s="385">
        <f>G946*F946</f>
        <v>26.400000000000002</v>
      </c>
    </row>
    <row r="947" spans="2:8" s="65" customFormat="1" ht="20.100000000000001" customHeight="1" x14ac:dyDescent="0.25">
      <c r="B947" s="473"/>
      <c r="C947" s="474"/>
      <c r="D947" s="61" t="s">
        <v>837</v>
      </c>
      <c r="E947" s="340" t="s">
        <v>24</v>
      </c>
      <c r="F947" s="338">
        <v>0.8</v>
      </c>
      <c r="G947" s="338">
        <v>2.1</v>
      </c>
      <c r="H947" s="385">
        <f>-2*G947*F947</f>
        <v>-3.3600000000000003</v>
      </c>
    </row>
    <row r="948" spans="2:8" s="65" customFormat="1" ht="20.100000000000001" customHeight="1" x14ac:dyDescent="0.25">
      <c r="B948" s="473"/>
      <c r="C948" s="474"/>
      <c r="D948" s="61" t="s">
        <v>838</v>
      </c>
      <c r="E948" s="340" t="s">
        <v>24</v>
      </c>
      <c r="F948" s="338">
        <v>1</v>
      </c>
      <c r="G948" s="338">
        <v>2.1</v>
      </c>
      <c r="H948" s="385">
        <f>G948*F948*-1</f>
        <v>-2.1</v>
      </c>
    </row>
    <row r="949" spans="2:8" s="65" customFormat="1" ht="20.100000000000001" customHeight="1" x14ac:dyDescent="0.25">
      <c r="B949" s="473"/>
      <c r="C949" s="474"/>
      <c r="D949" s="61" t="s">
        <v>839</v>
      </c>
      <c r="E949" s="340" t="s">
        <v>24</v>
      </c>
      <c r="F949" s="235">
        <v>0.6</v>
      </c>
      <c r="G949" s="235">
        <v>1.1000000000000001</v>
      </c>
      <c r="H949" s="385">
        <f t="shared" ref="H949:H951" si="44">G949*F949*-1</f>
        <v>-0.66</v>
      </c>
    </row>
    <row r="950" spans="2:8" s="65" customFormat="1" ht="20.100000000000001" customHeight="1" x14ac:dyDescent="0.25">
      <c r="B950" s="473"/>
      <c r="C950" s="474"/>
      <c r="D950" s="61" t="s">
        <v>841</v>
      </c>
      <c r="E950" s="340" t="s">
        <v>24</v>
      </c>
      <c r="F950" s="338">
        <v>1.8</v>
      </c>
      <c r="G950" s="338">
        <v>1.4</v>
      </c>
      <c r="H950" s="385">
        <f t="shared" si="44"/>
        <v>-2.52</v>
      </c>
    </row>
    <row r="951" spans="2:8" s="65" customFormat="1" ht="20.100000000000001" customHeight="1" x14ac:dyDescent="0.25">
      <c r="B951" s="473"/>
      <c r="C951" s="474"/>
      <c r="D951" s="61" t="s">
        <v>842</v>
      </c>
      <c r="E951" s="340" t="s">
        <v>24</v>
      </c>
      <c r="F951" s="338">
        <v>1.3</v>
      </c>
      <c r="G951" s="338">
        <v>1.4</v>
      </c>
      <c r="H951" s="385">
        <f t="shared" si="44"/>
        <v>-1.8199999999999998</v>
      </c>
    </row>
    <row r="952" spans="2:8" s="65" customFormat="1" ht="20.100000000000001" customHeight="1" x14ac:dyDescent="0.25">
      <c r="B952" s="473"/>
      <c r="C952" s="474"/>
      <c r="D952" s="61" t="s">
        <v>840</v>
      </c>
      <c r="E952" s="340" t="s">
        <v>24</v>
      </c>
      <c r="F952" s="338">
        <v>2.4</v>
      </c>
      <c r="G952" s="338">
        <v>1.4</v>
      </c>
      <c r="H952" s="385">
        <f>G952*F952*-1*2</f>
        <v>-6.72</v>
      </c>
    </row>
    <row r="953" spans="2:8" s="65" customFormat="1" ht="20.100000000000001" customHeight="1" x14ac:dyDescent="0.25">
      <c r="B953" s="473"/>
      <c r="C953" s="474"/>
      <c r="D953" s="61" t="s">
        <v>846</v>
      </c>
      <c r="E953" s="340" t="s">
        <v>24</v>
      </c>
      <c r="F953" s="338">
        <f>0.075+3.04+0.18+0.15+6.35</f>
        <v>9.7949999999999999</v>
      </c>
      <c r="G953" s="338">
        <v>1.5</v>
      </c>
      <c r="H953" s="385">
        <f>G953*F953</f>
        <v>14.692499999999999</v>
      </c>
    </row>
    <row r="954" spans="2:8" s="65" customFormat="1" ht="20.100000000000001" customHeight="1" x14ac:dyDescent="0.25">
      <c r="B954" s="473"/>
      <c r="C954" s="474"/>
      <c r="D954" s="61" t="s">
        <v>845</v>
      </c>
      <c r="E954" s="340" t="s">
        <v>24</v>
      </c>
      <c r="F954" s="338">
        <v>2</v>
      </c>
      <c r="G954" s="338">
        <v>1.4</v>
      </c>
      <c r="H954" s="385">
        <f t="shared" ref="H954" si="45">G954*F954*-1</f>
        <v>-2.8</v>
      </c>
    </row>
    <row r="955" spans="2:8" s="65" customFormat="1" ht="20.100000000000001" customHeight="1" x14ac:dyDescent="0.25">
      <c r="B955" s="473"/>
      <c r="C955" s="474"/>
      <c r="D955" s="61" t="s">
        <v>844</v>
      </c>
      <c r="E955" s="340" t="s">
        <v>24</v>
      </c>
      <c r="F955" s="338">
        <v>0.8</v>
      </c>
      <c r="G955" s="338">
        <v>2.1</v>
      </c>
      <c r="H955" s="385">
        <f>-G955*F955</f>
        <v>-1.6800000000000002</v>
      </c>
    </row>
    <row r="956" spans="2:8" s="65" customFormat="1" ht="20.100000000000001" customHeight="1" x14ac:dyDescent="0.25">
      <c r="B956" s="473"/>
      <c r="C956" s="474"/>
      <c r="D956" s="61" t="s">
        <v>847</v>
      </c>
      <c r="E956" s="340" t="s">
        <v>24</v>
      </c>
      <c r="F956" s="338">
        <f>0.15+3.04</f>
        <v>3.19</v>
      </c>
      <c r="G956" s="338">
        <v>1.5</v>
      </c>
      <c r="H956" s="385">
        <f>G956*F956</f>
        <v>4.7850000000000001</v>
      </c>
    </row>
    <row r="957" spans="2:8" s="65" customFormat="1" ht="20.100000000000001" customHeight="1" x14ac:dyDescent="0.25">
      <c r="B957" s="467"/>
      <c r="C957" s="468"/>
      <c r="D957" s="61" t="s">
        <v>845</v>
      </c>
      <c r="E957" s="340" t="s">
        <v>24</v>
      </c>
      <c r="F957" s="338">
        <v>2</v>
      </c>
      <c r="G957" s="338">
        <v>1.4</v>
      </c>
      <c r="H957" s="385">
        <f t="shared" ref="H957" si="46">G957*F957*-1</f>
        <v>-2.8</v>
      </c>
    </row>
    <row r="958" spans="2:8" s="65" customFormat="1" ht="20.100000000000001" customHeight="1" x14ac:dyDescent="0.25">
      <c r="B958" s="386" t="s">
        <v>463</v>
      </c>
      <c r="C958" s="163">
        <v>120107</v>
      </c>
      <c r="D958" s="80" t="s">
        <v>396</v>
      </c>
      <c r="E958" s="162" t="s">
        <v>24</v>
      </c>
      <c r="F958" s="330" t="s">
        <v>26</v>
      </c>
      <c r="G958" s="330" t="s">
        <v>27</v>
      </c>
      <c r="H958" s="387">
        <f>H959+H961+H963+H965+H967</f>
        <v>100.3647</v>
      </c>
    </row>
    <row r="959" spans="2:8" s="65" customFormat="1" ht="20.100000000000001" customHeight="1" x14ac:dyDescent="0.25">
      <c r="B959" s="447"/>
      <c r="C959" s="448"/>
      <c r="D959" s="166" t="s">
        <v>392</v>
      </c>
      <c r="E959" s="167" t="s">
        <v>24</v>
      </c>
      <c r="F959" s="159" t="s">
        <v>26</v>
      </c>
      <c r="G959" s="159" t="s">
        <v>27</v>
      </c>
      <c r="H959" s="408">
        <f>H960</f>
        <v>54.923999999999999</v>
      </c>
    </row>
    <row r="960" spans="2:8" s="65" customFormat="1" ht="20.100000000000001" customHeight="1" x14ac:dyDescent="0.25">
      <c r="B960" s="447"/>
      <c r="C960" s="448"/>
      <c r="D960" s="83" t="s">
        <v>395</v>
      </c>
      <c r="E960" s="67" t="s">
        <v>24</v>
      </c>
      <c r="F960" s="331">
        <v>7.96</v>
      </c>
      <c r="G960" s="331">
        <v>6.9</v>
      </c>
      <c r="H960" s="402">
        <f>G960*F960</f>
        <v>54.923999999999999</v>
      </c>
    </row>
    <row r="961" spans="2:8" s="65" customFormat="1" ht="20.100000000000001" customHeight="1" x14ac:dyDescent="0.25">
      <c r="B961" s="447"/>
      <c r="C961" s="448"/>
      <c r="D961" s="166" t="s">
        <v>147</v>
      </c>
      <c r="E961" s="167" t="s">
        <v>24</v>
      </c>
      <c r="F961" s="159" t="s">
        <v>26</v>
      </c>
      <c r="G961" s="159" t="s">
        <v>27</v>
      </c>
      <c r="H961" s="408">
        <f>H962</f>
        <v>12.740500000000001</v>
      </c>
    </row>
    <row r="962" spans="2:8" s="65" customFormat="1" ht="20.100000000000001" customHeight="1" x14ac:dyDescent="0.25">
      <c r="B962" s="447"/>
      <c r="C962" s="448"/>
      <c r="D962" s="83" t="s">
        <v>395</v>
      </c>
      <c r="E962" s="67" t="s">
        <v>24</v>
      </c>
      <c r="F962" s="331">
        <v>3.07</v>
      </c>
      <c r="G962" s="331">
        <v>4.1500000000000004</v>
      </c>
      <c r="H962" s="402">
        <f t="shared" ref="H962" si="47">G962*F962</f>
        <v>12.740500000000001</v>
      </c>
    </row>
    <row r="963" spans="2:8" s="65" customFormat="1" ht="20.100000000000001" customHeight="1" x14ac:dyDescent="0.25">
      <c r="B963" s="447"/>
      <c r="C963" s="448"/>
      <c r="D963" s="166" t="s">
        <v>364</v>
      </c>
      <c r="E963" s="167" t="s">
        <v>24</v>
      </c>
      <c r="F963" s="159" t="s">
        <v>26</v>
      </c>
      <c r="G963" s="159" t="s">
        <v>27</v>
      </c>
      <c r="H963" s="408">
        <f>H964</f>
        <v>19.494499999999999</v>
      </c>
    </row>
    <row r="964" spans="2:8" s="65" customFormat="1" ht="20.100000000000001" customHeight="1" x14ac:dyDescent="0.25">
      <c r="B964" s="447"/>
      <c r="C964" s="448"/>
      <c r="D964" s="83" t="s">
        <v>395</v>
      </c>
      <c r="E964" s="67" t="s">
        <v>24</v>
      </c>
      <c r="F964" s="331">
        <v>3.07</v>
      </c>
      <c r="G964" s="331">
        <v>6.35</v>
      </c>
      <c r="H964" s="402">
        <f t="shared" ref="H964" si="48">G964*F964</f>
        <v>19.494499999999999</v>
      </c>
    </row>
    <row r="965" spans="2:8" s="65" customFormat="1" ht="20.100000000000001" customHeight="1" x14ac:dyDescent="0.25">
      <c r="B965" s="447"/>
      <c r="C965" s="448"/>
      <c r="D965" s="166" t="s">
        <v>354</v>
      </c>
      <c r="E965" s="167" t="s">
        <v>24</v>
      </c>
      <c r="F965" s="159" t="s">
        <v>26</v>
      </c>
      <c r="G965" s="159" t="s">
        <v>27</v>
      </c>
      <c r="H965" s="408">
        <f>H966</f>
        <v>6.1706999999999992</v>
      </c>
    </row>
    <row r="966" spans="2:8" s="65" customFormat="1" ht="20.100000000000001" customHeight="1" x14ac:dyDescent="0.25">
      <c r="B966" s="447"/>
      <c r="C966" s="448"/>
      <c r="D966" s="83" t="s">
        <v>395</v>
      </c>
      <c r="E966" s="67" t="s">
        <v>24</v>
      </c>
      <c r="F966" s="331">
        <v>3.07</v>
      </c>
      <c r="G966" s="331">
        <v>2.0099999999999998</v>
      </c>
      <c r="H966" s="402">
        <f t="shared" ref="H966" si="49">G966*F966</f>
        <v>6.1706999999999992</v>
      </c>
    </row>
    <row r="967" spans="2:8" s="65" customFormat="1" ht="20.100000000000001" customHeight="1" x14ac:dyDescent="0.25">
      <c r="B967" s="447"/>
      <c r="C967" s="448"/>
      <c r="D967" s="166" t="s">
        <v>397</v>
      </c>
      <c r="E967" s="167" t="s">
        <v>24</v>
      </c>
      <c r="F967" s="159" t="s">
        <v>26</v>
      </c>
      <c r="G967" s="159" t="s">
        <v>27</v>
      </c>
      <c r="H967" s="408">
        <f>H968</f>
        <v>7.0350000000000001</v>
      </c>
    </row>
    <row r="968" spans="2:8" s="65" customFormat="1" ht="20.100000000000001" customHeight="1" x14ac:dyDescent="0.25">
      <c r="B968" s="447"/>
      <c r="C968" s="448"/>
      <c r="D968" s="61" t="s">
        <v>395</v>
      </c>
      <c r="E968" s="340" t="s">
        <v>24</v>
      </c>
      <c r="F968" s="338">
        <v>3.35</v>
      </c>
      <c r="G968" s="338">
        <v>2.1</v>
      </c>
      <c r="H968" s="385">
        <f>G968*F968</f>
        <v>7.0350000000000001</v>
      </c>
    </row>
    <row r="969" spans="2:8" s="65" customFormat="1" ht="31.5" x14ac:dyDescent="0.25">
      <c r="B969" s="386" t="s">
        <v>978</v>
      </c>
      <c r="C969" s="163">
        <v>121105</v>
      </c>
      <c r="D969" s="80" t="s">
        <v>768</v>
      </c>
      <c r="E969" s="162" t="s">
        <v>24</v>
      </c>
      <c r="F969" s="330" t="s">
        <v>26</v>
      </c>
      <c r="G969" s="330" t="s">
        <v>31</v>
      </c>
      <c r="H969" s="387">
        <f>SUM(H970:H1050)</f>
        <v>662.23174999999992</v>
      </c>
    </row>
    <row r="970" spans="2:8" s="65" customFormat="1" ht="20.100000000000001" customHeight="1" x14ac:dyDescent="0.25">
      <c r="B970" s="388"/>
      <c r="C970" s="277"/>
      <c r="D970" s="61" t="s">
        <v>765</v>
      </c>
      <c r="E970" s="340" t="s">
        <v>24</v>
      </c>
      <c r="F970" s="338">
        <v>28.58</v>
      </c>
      <c r="G970" s="338">
        <v>1.5</v>
      </c>
      <c r="H970" s="385">
        <f>G970*F970</f>
        <v>42.87</v>
      </c>
    </row>
    <row r="971" spans="2:8" s="65" customFormat="1" ht="20.100000000000001" customHeight="1" x14ac:dyDescent="0.25">
      <c r="B971" s="389"/>
      <c r="C971" s="278"/>
      <c r="D971" s="61" t="s">
        <v>769</v>
      </c>
      <c r="E971" s="340" t="s">
        <v>24</v>
      </c>
      <c r="F971" s="338">
        <v>1.8</v>
      </c>
      <c r="G971" s="338">
        <v>0.6</v>
      </c>
      <c r="H971" s="385">
        <f>-4*G971*F971</f>
        <v>-4.32</v>
      </c>
    </row>
    <row r="972" spans="2:8" s="65" customFormat="1" ht="20.100000000000001" customHeight="1" x14ac:dyDescent="0.25">
      <c r="B972" s="389"/>
      <c r="C972" s="278"/>
      <c r="D972" s="61" t="s">
        <v>754</v>
      </c>
      <c r="E972" s="340" t="s">
        <v>24</v>
      </c>
      <c r="F972" s="338">
        <v>1</v>
      </c>
      <c r="G972" s="338">
        <v>1.5</v>
      </c>
      <c r="H972" s="385">
        <f>-2*G972*F972</f>
        <v>-3</v>
      </c>
    </row>
    <row r="973" spans="2:8" s="65" customFormat="1" ht="20.100000000000001" customHeight="1" x14ac:dyDescent="0.25">
      <c r="B973" s="389"/>
      <c r="C973" s="278"/>
      <c r="D973" s="61" t="s">
        <v>772</v>
      </c>
      <c r="E973" s="340" t="s">
        <v>24</v>
      </c>
      <c r="F973" s="338">
        <v>22.38</v>
      </c>
      <c r="G973" s="338">
        <v>1.5</v>
      </c>
      <c r="H973" s="385">
        <f>G973*F973</f>
        <v>33.57</v>
      </c>
    </row>
    <row r="974" spans="2:8" s="65" customFormat="1" ht="20.100000000000001" customHeight="1" x14ac:dyDescent="0.25">
      <c r="B974" s="389"/>
      <c r="C974" s="278"/>
      <c r="D974" s="61" t="s">
        <v>773</v>
      </c>
      <c r="E974" s="340" t="s">
        <v>24</v>
      </c>
      <c r="F974" s="331">
        <v>1</v>
      </c>
      <c r="G974" s="338">
        <v>1.5</v>
      </c>
      <c r="H974" s="385">
        <f>-G974*F974</f>
        <v>-1.5</v>
      </c>
    </row>
    <row r="975" spans="2:8" s="65" customFormat="1" ht="20.100000000000001" customHeight="1" x14ac:dyDescent="0.25">
      <c r="B975" s="389"/>
      <c r="C975" s="278"/>
      <c r="D975" s="61" t="s">
        <v>766</v>
      </c>
      <c r="E975" s="340" t="s">
        <v>24</v>
      </c>
      <c r="F975" s="331">
        <v>1.8</v>
      </c>
      <c r="G975" s="338">
        <v>0.6</v>
      </c>
      <c r="H975" s="385">
        <f>-4*G975*F975</f>
        <v>-4.32</v>
      </c>
    </row>
    <row r="976" spans="2:8" s="65" customFormat="1" ht="20.100000000000001" customHeight="1" x14ac:dyDescent="0.25">
      <c r="B976" s="389"/>
      <c r="C976" s="278"/>
      <c r="D976" s="61" t="s">
        <v>792</v>
      </c>
      <c r="E976" s="340" t="s">
        <v>24</v>
      </c>
      <c r="F976" s="338">
        <v>24.94</v>
      </c>
      <c r="G976" s="338">
        <v>1.5</v>
      </c>
      <c r="H976" s="385">
        <f>G976*F976</f>
        <v>37.410000000000004</v>
      </c>
    </row>
    <row r="977" spans="2:8" s="65" customFormat="1" ht="20.100000000000001" customHeight="1" x14ac:dyDescent="0.25">
      <c r="B977" s="390"/>
      <c r="C977" s="279"/>
      <c r="D977" s="61" t="s">
        <v>769</v>
      </c>
      <c r="E977" s="340" t="s">
        <v>24</v>
      </c>
      <c r="F977" s="338">
        <v>1.8</v>
      </c>
      <c r="G977" s="338">
        <v>0.6</v>
      </c>
      <c r="H977" s="385">
        <f>-4*G977*F977</f>
        <v>-4.32</v>
      </c>
    </row>
    <row r="978" spans="2:8" s="65" customFormat="1" ht="15" x14ac:dyDescent="0.25">
      <c r="B978" s="388"/>
      <c r="C978" s="277"/>
      <c r="D978" s="61" t="s">
        <v>754</v>
      </c>
      <c r="E978" s="340" t="s">
        <v>24</v>
      </c>
      <c r="F978" s="338">
        <v>1</v>
      </c>
      <c r="G978" s="338">
        <v>1.5</v>
      </c>
      <c r="H978" s="385">
        <f>-2*G978*F978</f>
        <v>-3</v>
      </c>
    </row>
    <row r="979" spans="2:8" s="65" customFormat="1" ht="15" x14ac:dyDescent="0.25">
      <c r="B979" s="389"/>
      <c r="C979" s="278"/>
      <c r="D979" s="61" t="s">
        <v>793</v>
      </c>
      <c r="E979" s="340" t="s">
        <v>24</v>
      </c>
      <c r="F979" s="338">
        <v>12.84</v>
      </c>
      <c r="G979" s="338">
        <v>1.5</v>
      </c>
      <c r="H979" s="385">
        <f>G979*F979</f>
        <v>19.259999999999998</v>
      </c>
    </row>
    <row r="980" spans="2:8" s="65" customFormat="1" ht="20.100000000000001" customHeight="1" x14ac:dyDescent="0.25">
      <c r="B980" s="389"/>
      <c r="C980" s="278"/>
      <c r="D980" s="61" t="s">
        <v>773</v>
      </c>
      <c r="E980" s="340" t="s">
        <v>24</v>
      </c>
      <c r="F980" s="331">
        <v>1</v>
      </c>
      <c r="G980" s="338">
        <v>1.5</v>
      </c>
      <c r="H980" s="385">
        <f>-G980*F980</f>
        <v>-1.5</v>
      </c>
    </row>
    <row r="981" spans="2:8" s="65" customFormat="1" ht="20.100000000000001" customHeight="1" x14ac:dyDescent="0.25">
      <c r="B981" s="389"/>
      <c r="C981" s="278"/>
      <c r="D981" s="61" t="s">
        <v>766</v>
      </c>
      <c r="E981" s="340" t="s">
        <v>24</v>
      </c>
      <c r="F981" s="331">
        <v>1.8</v>
      </c>
      <c r="G981" s="338">
        <v>0.6</v>
      </c>
      <c r="H981" s="385">
        <f>-4*G981*F981</f>
        <v>-4.32</v>
      </c>
    </row>
    <row r="982" spans="2:8" s="65" customFormat="1" ht="20.100000000000001" customHeight="1" x14ac:dyDescent="0.25">
      <c r="B982" s="389"/>
      <c r="C982" s="278"/>
      <c r="D982" s="61" t="s">
        <v>795</v>
      </c>
      <c r="E982" s="340" t="s">
        <v>24</v>
      </c>
      <c r="F982" s="338">
        <v>25.09</v>
      </c>
      <c r="G982" s="338">
        <v>1.5</v>
      </c>
      <c r="H982" s="385">
        <f>G982*F982</f>
        <v>37.634999999999998</v>
      </c>
    </row>
    <row r="983" spans="2:8" s="65" customFormat="1" ht="20.100000000000001" customHeight="1" x14ac:dyDescent="0.25">
      <c r="B983" s="389"/>
      <c r="C983" s="278"/>
      <c r="D983" s="61" t="s">
        <v>769</v>
      </c>
      <c r="E983" s="340" t="s">
        <v>24</v>
      </c>
      <c r="F983" s="338">
        <v>1.8</v>
      </c>
      <c r="G983" s="338">
        <v>0.6</v>
      </c>
      <c r="H983" s="385">
        <f>-4*G983*F983</f>
        <v>-4.32</v>
      </c>
    </row>
    <row r="984" spans="2:8" s="65" customFormat="1" ht="20.100000000000001" customHeight="1" x14ac:dyDescent="0.25">
      <c r="B984" s="389"/>
      <c r="C984" s="278"/>
      <c r="D984" s="61" t="s">
        <v>754</v>
      </c>
      <c r="E984" s="340" t="s">
        <v>24</v>
      </c>
      <c r="F984" s="338">
        <v>1</v>
      </c>
      <c r="G984" s="338">
        <v>1.5</v>
      </c>
      <c r="H984" s="385">
        <f>-2*G984*F984</f>
        <v>-3</v>
      </c>
    </row>
    <row r="985" spans="2:8" s="65" customFormat="1" ht="20.100000000000001" customHeight="1" x14ac:dyDescent="0.25">
      <c r="B985" s="389"/>
      <c r="C985" s="278"/>
      <c r="D985" s="61" t="s">
        <v>796</v>
      </c>
      <c r="E985" s="340" t="s">
        <v>24</v>
      </c>
      <c r="F985" s="338">
        <v>12.99</v>
      </c>
      <c r="G985" s="338">
        <v>1.5</v>
      </c>
      <c r="H985" s="385">
        <f>G985*F985</f>
        <v>19.484999999999999</v>
      </c>
    </row>
    <row r="986" spans="2:8" s="65" customFormat="1" ht="20.100000000000001" customHeight="1" x14ac:dyDescent="0.25">
      <c r="B986" s="389"/>
      <c r="C986" s="278"/>
      <c r="D986" s="61" t="s">
        <v>773</v>
      </c>
      <c r="E986" s="340" t="s">
        <v>24</v>
      </c>
      <c r="F986" s="331">
        <v>1</v>
      </c>
      <c r="G986" s="338">
        <v>1.5</v>
      </c>
      <c r="H986" s="385">
        <f>-G986*F986</f>
        <v>-1.5</v>
      </c>
    </row>
    <row r="987" spans="2:8" s="65" customFormat="1" ht="20.100000000000001" customHeight="1" x14ac:dyDescent="0.25">
      <c r="B987" s="389"/>
      <c r="C987" s="278"/>
      <c r="D987" s="61" t="s">
        <v>766</v>
      </c>
      <c r="E987" s="340" t="s">
        <v>24</v>
      </c>
      <c r="F987" s="331">
        <v>1.8</v>
      </c>
      <c r="G987" s="338">
        <v>0.6</v>
      </c>
      <c r="H987" s="385">
        <f>-4*G987*F987</f>
        <v>-4.32</v>
      </c>
    </row>
    <row r="988" spans="2:8" s="65" customFormat="1" ht="20.100000000000001" customHeight="1" x14ac:dyDescent="0.25">
      <c r="B988" s="389"/>
      <c r="C988" s="278"/>
      <c r="D988" s="61" t="s">
        <v>801</v>
      </c>
      <c r="E988" s="340" t="s">
        <v>24</v>
      </c>
      <c r="F988" s="331">
        <f>0.765+2.5+6.2</f>
        <v>9.4649999999999999</v>
      </c>
      <c r="G988" s="338">
        <v>1.5</v>
      </c>
      <c r="H988" s="385">
        <f>G988*F988</f>
        <v>14.1975</v>
      </c>
    </row>
    <row r="989" spans="2:8" s="65" customFormat="1" ht="20.100000000000001" customHeight="1" x14ac:dyDescent="0.25">
      <c r="B989" s="389"/>
      <c r="C989" s="278"/>
      <c r="D989" s="61" t="s">
        <v>773</v>
      </c>
      <c r="E989" s="340" t="s">
        <v>24</v>
      </c>
      <c r="F989" s="331">
        <v>1</v>
      </c>
      <c r="G989" s="338">
        <v>1.5</v>
      </c>
      <c r="H989" s="385">
        <f>-G989*F989</f>
        <v>-1.5</v>
      </c>
    </row>
    <row r="990" spans="2:8" s="65" customFormat="1" ht="20.100000000000001" customHeight="1" x14ac:dyDescent="0.25">
      <c r="B990" s="389"/>
      <c r="C990" s="278"/>
      <c r="D990" s="61" t="s">
        <v>800</v>
      </c>
      <c r="E990" s="340" t="s">
        <v>24</v>
      </c>
      <c r="F990" s="331">
        <f>12.81-9.46</f>
        <v>3.3499999999999996</v>
      </c>
      <c r="G990" s="338">
        <v>1.5</v>
      </c>
      <c r="H990" s="385">
        <f>G990*F990</f>
        <v>5.0249999999999995</v>
      </c>
    </row>
    <row r="991" spans="2:8" s="65" customFormat="1" ht="20.100000000000001" customHeight="1" x14ac:dyDescent="0.25">
      <c r="B991" s="389"/>
      <c r="C991" s="278"/>
      <c r="D991" s="61" t="s">
        <v>773</v>
      </c>
      <c r="E991" s="340" t="s">
        <v>24</v>
      </c>
      <c r="F991" s="331">
        <v>1</v>
      </c>
      <c r="G991" s="338">
        <v>1.5</v>
      </c>
      <c r="H991" s="385">
        <f>-G991*F991</f>
        <v>-1.5</v>
      </c>
    </row>
    <row r="992" spans="2:8" s="65" customFormat="1" ht="20.100000000000001" customHeight="1" x14ac:dyDescent="0.25">
      <c r="B992" s="389"/>
      <c r="C992" s="278"/>
      <c r="D992" s="61" t="s">
        <v>766</v>
      </c>
      <c r="E992" s="340" t="s">
        <v>24</v>
      </c>
      <c r="F992" s="331">
        <v>1.8</v>
      </c>
      <c r="G992" s="338">
        <v>0.6</v>
      </c>
      <c r="H992" s="385">
        <f>-4*G992*F992</f>
        <v>-4.32</v>
      </c>
    </row>
    <row r="993" spans="2:8" s="65" customFormat="1" ht="20.100000000000001" customHeight="1" x14ac:dyDescent="0.25">
      <c r="B993" s="389"/>
      <c r="C993" s="278"/>
      <c r="D993" s="61" t="s">
        <v>802</v>
      </c>
      <c r="E993" s="340" t="s">
        <v>24</v>
      </c>
      <c r="F993" s="331">
        <v>12.99</v>
      </c>
      <c r="G993" s="338">
        <v>1.5</v>
      </c>
      <c r="H993" s="385">
        <f>G993*F993</f>
        <v>19.484999999999999</v>
      </c>
    </row>
    <row r="994" spans="2:8" s="65" customFormat="1" ht="20.100000000000001" customHeight="1" x14ac:dyDescent="0.25">
      <c r="B994" s="389"/>
      <c r="C994" s="278"/>
      <c r="D994" s="61" t="s">
        <v>773</v>
      </c>
      <c r="E994" s="340" t="s">
        <v>24</v>
      </c>
      <c r="F994" s="331">
        <v>1</v>
      </c>
      <c r="G994" s="338">
        <v>1.5</v>
      </c>
      <c r="H994" s="385">
        <f>-G994*F994</f>
        <v>-1.5</v>
      </c>
    </row>
    <row r="995" spans="2:8" s="65" customFormat="1" ht="20.100000000000001" customHeight="1" x14ac:dyDescent="0.25">
      <c r="B995" s="389"/>
      <c r="C995" s="278"/>
      <c r="D995" s="61" t="s">
        <v>766</v>
      </c>
      <c r="E995" s="340" t="s">
        <v>24</v>
      </c>
      <c r="F995" s="331">
        <v>1.8</v>
      </c>
      <c r="G995" s="338">
        <v>0.6</v>
      </c>
      <c r="H995" s="385">
        <f>-4*G995*F995</f>
        <v>-4.32</v>
      </c>
    </row>
    <row r="996" spans="2:8" s="65" customFormat="1" ht="20.100000000000001" customHeight="1" x14ac:dyDescent="0.25">
      <c r="B996" s="389"/>
      <c r="C996" s="278"/>
      <c r="D996" s="61" t="s">
        <v>807</v>
      </c>
      <c r="E996" s="340" t="s">
        <v>24</v>
      </c>
      <c r="F996" s="331">
        <f>4.015+6.2+6.2+4.015</f>
        <v>20.43</v>
      </c>
      <c r="G996" s="338">
        <v>1.5</v>
      </c>
      <c r="H996" s="385">
        <f>G996*F996</f>
        <v>30.645</v>
      </c>
    </row>
    <row r="997" spans="2:8" s="65" customFormat="1" ht="20.100000000000001" customHeight="1" x14ac:dyDescent="0.25">
      <c r="B997" s="389"/>
      <c r="C997" s="278"/>
      <c r="D997" s="61" t="s">
        <v>773</v>
      </c>
      <c r="E997" s="340" t="s">
        <v>24</v>
      </c>
      <c r="F997" s="331">
        <v>1</v>
      </c>
      <c r="G997" s="338">
        <v>1.5</v>
      </c>
      <c r="H997" s="385">
        <f>-G997*F997</f>
        <v>-1.5</v>
      </c>
    </row>
    <row r="998" spans="2:8" s="65" customFormat="1" ht="21.75" customHeight="1" x14ac:dyDescent="0.25">
      <c r="B998" s="389"/>
      <c r="C998" s="278"/>
      <c r="D998" s="61" t="s">
        <v>806</v>
      </c>
      <c r="E998" s="340" t="s">
        <v>24</v>
      </c>
      <c r="F998" s="331">
        <v>1.8</v>
      </c>
      <c r="G998" s="338">
        <v>0.6</v>
      </c>
      <c r="H998" s="385">
        <f>-2*G998*F998</f>
        <v>-2.16</v>
      </c>
    </row>
    <row r="999" spans="2:8" s="65" customFormat="1" ht="20.100000000000001" customHeight="1" x14ac:dyDescent="0.25">
      <c r="B999" s="389"/>
      <c r="C999" s="278"/>
      <c r="D999" s="61" t="s">
        <v>808</v>
      </c>
      <c r="E999" s="340" t="s">
        <v>24</v>
      </c>
      <c r="F999" s="331">
        <f>4.015+4.015+0.15+0.0075</f>
        <v>8.1875</v>
      </c>
      <c r="G999" s="338">
        <v>1.5</v>
      </c>
      <c r="H999" s="385">
        <f>G999*F999</f>
        <v>12.28125</v>
      </c>
    </row>
    <row r="1000" spans="2:8" s="65" customFormat="1" ht="20.100000000000001" customHeight="1" x14ac:dyDescent="0.25">
      <c r="B1000" s="389"/>
      <c r="C1000" s="278"/>
      <c r="D1000" s="61" t="s">
        <v>773</v>
      </c>
      <c r="E1000" s="340" t="s">
        <v>24</v>
      </c>
      <c r="F1000" s="331">
        <v>1</v>
      </c>
      <c r="G1000" s="338">
        <v>1.5</v>
      </c>
      <c r="H1000" s="385">
        <f>-G1000*F1000</f>
        <v>-1.5</v>
      </c>
    </row>
    <row r="1001" spans="2:8" s="65" customFormat="1" ht="20.100000000000001" customHeight="1" x14ac:dyDescent="0.25">
      <c r="B1001" s="389"/>
      <c r="C1001" s="278"/>
      <c r="D1001" s="61" t="s">
        <v>806</v>
      </c>
      <c r="E1001" s="340" t="s">
        <v>24</v>
      </c>
      <c r="F1001" s="331">
        <v>1.8</v>
      </c>
      <c r="G1001" s="338">
        <v>0.6</v>
      </c>
      <c r="H1001" s="385">
        <f>-2*G1001*F1001</f>
        <v>-2.16</v>
      </c>
    </row>
    <row r="1002" spans="2:8" s="65" customFormat="1" ht="20.100000000000001" customHeight="1" x14ac:dyDescent="0.25">
      <c r="B1002" s="389"/>
      <c r="C1002" s="278"/>
      <c r="D1002" s="61" t="s">
        <v>815</v>
      </c>
      <c r="E1002" s="340" t="s">
        <v>24</v>
      </c>
      <c r="F1002" s="331">
        <f>7.4+7.4+6+6</f>
        <v>26.8</v>
      </c>
      <c r="G1002" s="338">
        <v>1.5</v>
      </c>
      <c r="H1002" s="385">
        <f>G1002*F1002</f>
        <v>40.200000000000003</v>
      </c>
    </row>
    <row r="1003" spans="2:8" s="65" customFormat="1" ht="20.100000000000001" customHeight="1" x14ac:dyDescent="0.25">
      <c r="B1003" s="389"/>
      <c r="C1003" s="278"/>
      <c r="D1003" s="61" t="s">
        <v>773</v>
      </c>
      <c r="E1003" s="340" t="s">
        <v>24</v>
      </c>
      <c r="F1003" s="331">
        <v>1</v>
      </c>
      <c r="G1003" s="338">
        <v>1.5</v>
      </c>
      <c r="H1003" s="385">
        <f>-G1003*F1003</f>
        <v>-1.5</v>
      </c>
    </row>
    <row r="1004" spans="2:8" s="65" customFormat="1" ht="20.100000000000001" customHeight="1" x14ac:dyDescent="0.25">
      <c r="B1004" s="389"/>
      <c r="C1004" s="278"/>
      <c r="D1004" s="61" t="s">
        <v>816</v>
      </c>
      <c r="E1004" s="340" t="s">
        <v>24</v>
      </c>
      <c r="F1004" s="331">
        <v>1.8</v>
      </c>
      <c r="G1004" s="338">
        <v>0.6</v>
      </c>
      <c r="H1004" s="385">
        <f>-4*G1004*F1004</f>
        <v>-4.32</v>
      </c>
    </row>
    <row r="1005" spans="2:8" s="65" customFormat="1" ht="20.100000000000001" customHeight="1" x14ac:dyDescent="0.25">
      <c r="B1005" s="389"/>
      <c r="C1005" s="278"/>
      <c r="D1005" s="61" t="s">
        <v>817</v>
      </c>
      <c r="E1005" s="340" t="s">
        <v>24</v>
      </c>
      <c r="F1005" s="331">
        <f>6+7.4+1.25+0.15+0.075+0.2+0.2</f>
        <v>15.274999999999999</v>
      </c>
      <c r="G1005" s="338">
        <v>1.5</v>
      </c>
      <c r="H1005" s="385">
        <f>G1005*F1005</f>
        <v>22.912499999999998</v>
      </c>
    </row>
    <row r="1006" spans="2:8" s="65" customFormat="1" ht="20.100000000000001" customHeight="1" x14ac:dyDescent="0.25">
      <c r="B1006" s="389"/>
      <c r="C1006" s="278"/>
      <c r="D1006" s="61" t="s">
        <v>773</v>
      </c>
      <c r="E1006" s="340" t="s">
        <v>24</v>
      </c>
      <c r="F1006" s="331">
        <v>1</v>
      </c>
      <c r="G1006" s="338">
        <v>1.5</v>
      </c>
      <c r="H1006" s="385">
        <f>-G1006*F1006</f>
        <v>-1.5</v>
      </c>
    </row>
    <row r="1007" spans="2:8" s="65" customFormat="1" ht="20.100000000000001" customHeight="1" x14ac:dyDescent="0.25">
      <c r="B1007" s="389"/>
      <c r="C1007" s="278"/>
      <c r="D1007" s="61" t="s">
        <v>816</v>
      </c>
      <c r="E1007" s="340" t="s">
        <v>24</v>
      </c>
      <c r="F1007" s="331">
        <v>2.5</v>
      </c>
      <c r="G1007" s="338">
        <v>0.6</v>
      </c>
      <c r="H1007" s="385">
        <f>-4*G1007*F1007</f>
        <v>-6</v>
      </c>
    </row>
    <row r="1008" spans="2:8" s="65" customFormat="1" ht="20.100000000000001" customHeight="1" x14ac:dyDescent="0.25">
      <c r="B1008" s="389"/>
      <c r="C1008" s="278"/>
      <c r="D1008" s="61" t="s">
        <v>848</v>
      </c>
      <c r="E1008" s="340" t="s">
        <v>24</v>
      </c>
      <c r="F1008" s="331">
        <f>14.75+0.075+0.05+11.2+0.075</f>
        <v>26.15</v>
      </c>
      <c r="G1008" s="338">
        <v>1.5</v>
      </c>
      <c r="H1008" s="385">
        <f>G1008*F1008</f>
        <v>39.224999999999994</v>
      </c>
    </row>
    <row r="1009" spans="2:8" s="65" customFormat="1" ht="20.100000000000001" customHeight="1" x14ac:dyDescent="0.25">
      <c r="B1009" s="389"/>
      <c r="C1009" s="278"/>
      <c r="D1009" s="61" t="s">
        <v>767</v>
      </c>
      <c r="E1009" s="340" t="s">
        <v>24</v>
      </c>
      <c r="F1009" s="331">
        <v>1</v>
      </c>
      <c r="G1009" s="338">
        <v>1.5</v>
      </c>
      <c r="H1009" s="385">
        <f>-G1009*F1009*2</f>
        <v>-3</v>
      </c>
    </row>
    <row r="1010" spans="2:8" s="65" customFormat="1" ht="20.100000000000001" customHeight="1" x14ac:dyDescent="0.25">
      <c r="B1010" s="389"/>
      <c r="C1010" s="278"/>
      <c r="D1010" s="61" t="s">
        <v>849</v>
      </c>
      <c r="E1010" s="340" t="s">
        <v>24</v>
      </c>
      <c r="F1010" s="331">
        <v>2.5</v>
      </c>
      <c r="G1010" s="338">
        <v>0.6</v>
      </c>
      <c r="H1010" s="385">
        <f>-6*G1010*F1010</f>
        <v>-9</v>
      </c>
    </row>
    <row r="1011" spans="2:8" s="65" customFormat="1" ht="20.100000000000001" customHeight="1" x14ac:dyDescent="0.25">
      <c r="B1011" s="389"/>
      <c r="C1011" s="278"/>
      <c r="D1011" s="61" t="s">
        <v>853</v>
      </c>
      <c r="E1011" s="340" t="s">
        <v>24</v>
      </c>
      <c r="F1011" s="331">
        <f>8.14+8.08+6.35+6.35</f>
        <v>28.92</v>
      </c>
      <c r="G1011" s="331">
        <v>2</v>
      </c>
      <c r="H1011" s="385">
        <f>G1011*F1011</f>
        <v>57.84</v>
      </c>
    </row>
    <row r="1012" spans="2:8" s="65" customFormat="1" ht="20.100000000000001" customHeight="1" x14ac:dyDescent="0.25">
      <c r="B1012" s="389"/>
      <c r="C1012" s="278"/>
      <c r="D1012" s="61" t="s">
        <v>856</v>
      </c>
      <c r="E1012" s="340" t="s">
        <v>24</v>
      </c>
      <c r="F1012" s="331">
        <v>1.26</v>
      </c>
      <c r="G1012" s="331">
        <v>2.1</v>
      </c>
      <c r="H1012" s="385">
        <f>2*-F1012*G1012</f>
        <v>-5.2920000000000007</v>
      </c>
    </row>
    <row r="1013" spans="2:8" s="65" customFormat="1" ht="20.100000000000001" customHeight="1" x14ac:dyDescent="0.25">
      <c r="B1013" s="389"/>
      <c r="C1013" s="278"/>
      <c r="D1013" s="61" t="s">
        <v>857</v>
      </c>
      <c r="E1013" s="340" t="s">
        <v>24</v>
      </c>
      <c r="F1013" s="331">
        <v>6.8</v>
      </c>
      <c r="G1013" s="331">
        <v>0.75</v>
      </c>
      <c r="H1013" s="385">
        <f t="shared" ref="H1013:H1014" si="50">2*-F1013*G1013</f>
        <v>-10.199999999999999</v>
      </c>
    </row>
    <row r="1014" spans="2:8" s="65" customFormat="1" ht="20.100000000000001" customHeight="1" x14ac:dyDescent="0.25">
      <c r="B1014" s="389"/>
      <c r="C1014" s="278"/>
      <c r="D1014" s="61" t="s">
        <v>858</v>
      </c>
      <c r="E1014" s="340" t="s">
        <v>24</v>
      </c>
      <c r="F1014" s="331">
        <v>0.8</v>
      </c>
      <c r="G1014" s="331">
        <v>2.1</v>
      </c>
      <c r="H1014" s="385">
        <f t="shared" si="50"/>
        <v>-3.3600000000000003</v>
      </c>
    </row>
    <row r="1015" spans="2:8" s="65" customFormat="1" ht="20.100000000000001" customHeight="1" x14ac:dyDescent="0.25">
      <c r="B1015" s="389"/>
      <c r="C1015" s="278"/>
      <c r="D1015" s="61" t="s">
        <v>854</v>
      </c>
      <c r="E1015" s="340" t="s">
        <v>24</v>
      </c>
      <c r="F1015" s="331">
        <f>8.4+8.4+6.35+6.35</f>
        <v>29.5</v>
      </c>
      <c r="G1015" s="331">
        <v>2</v>
      </c>
      <c r="H1015" s="385">
        <f t="shared" ref="H1015" si="51">G1015*F1015</f>
        <v>59</v>
      </c>
    </row>
    <row r="1016" spans="2:8" s="65" customFormat="1" ht="20.100000000000001" customHeight="1" x14ac:dyDescent="0.25">
      <c r="B1016" s="389"/>
      <c r="C1016" s="278"/>
      <c r="D1016" s="61" t="s">
        <v>856</v>
      </c>
      <c r="E1016" s="340" t="s">
        <v>24</v>
      </c>
      <c r="F1016" s="331">
        <v>1.26</v>
      </c>
      <c r="G1016" s="331">
        <v>2.1</v>
      </c>
      <c r="H1016" s="385">
        <f>2*-F1016*G1016</f>
        <v>-5.2920000000000007</v>
      </c>
    </row>
    <row r="1017" spans="2:8" s="65" customFormat="1" ht="20.100000000000001" customHeight="1" x14ac:dyDescent="0.25">
      <c r="B1017" s="389"/>
      <c r="C1017" s="278"/>
      <c r="D1017" s="61" t="s">
        <v>857</v>
      </c>
      <c r="E1017" s="340" t="s">
        <v>24</v>
      </c>
      <c r="F1017" s="331">
        <v>6.8</v>
      </c>
      <c r="G1017" s="331">
        <v>0.75</v>
      </c>
      <c r="H1017" s="385">
        <f t="shared" ref="H1017:H1018" si="52">2*-F1017*G1017</f>
        <v>-10.199999999999999</v>
      </c>
    </row>
    <row r="1018" spans="2:8" s="65" customFormat="1" ht="20.100000000000001" customHeight="1" x14ac:dyDescent="0.25">
      <c r="B1018" s="389"/>
      <c r="C1018" s="278"/>
      <c r="D1018" s="61" t="s">
        <v>858</v>
      </c>
      <c r="E1018" s="340" t="s">
        <v>24</v>
      </c>
      <c r="F1018" s="331">
        <v>0.8</v>
      </c>
      <c r="G1018" s="331">
        <v>2.1</v>
      </c>
      <c r="H1018" s="385">
        <f t="shared" si="52"/>
        <v>-3.3600000000000003</v>
      </c>
    </row>
    <row r="1019" spans="2:8" s="65" customFormat="1" ht="20.100000000000001" customHeight="1" x14ac:dyDescent="0.25">
      <c r="B1019" s="389"/>
      <c r="C1019" s="278"/>
      <c r="D1019" s="61" t="s">
        <v>855</v>
      </c>
      <c r="E1019" s="340" t="s">
        <v>24</v>
      </c>
      <c r="F1019" s="331">
        <f>7.59+7.59+6.35+6.35</f>
        <v>27.880000000000003</v>
      </c>
      <c r="G1019" s="331">
        <v>2</v>
      </c>
      <c r="H1019" s="385">
        <f t="shared" ref="H1019" si="53">G1019*F1019</f>
        <v>55.760000000000005</v>
      </c>
    </row>
    <row r="1020" spans="2:8" s="65" customFormat="1" ht="20.100000000000001" customHeight="1" x14ac:dyDescent="0.25">
      <c r="B1020" s="389"/>
      <c r="C1020" s="278"/>
      <c r="D1020" s="61" t="s">
        <v>773</v>
      </c>
      <c r="E1020" s="340" t="s">
        <v>24</v>
      </c>
      <c r="F1020" s="331">
        <v>1</v>
      </c>
      <c r="G1020" s="338">
        <v>2.1</v>
      </c>
      <c r="H1020" s="385">
        <f>-G1020*F1020*1</f>
        <v>-2.1</v>
      </c>
    </row>
    <row r="1021" spans="2:8" s="65" customFormat="1" ht="20.100000000000001" customHeight="1" x14ac:dyDescent="0.25">
      <c r="B1021" s="390"/>
      <c r="C1021" s="279"/>
      <c r="D1021" s="61" t="s">
        <v>816</v>
      </c>
      <c r="E1021" s="340" t="s">
        <v>24</v>
      </c>
      <c r="F1021" s="331">
        <v>2.5</v>
      </c>
      <c r="G1021" s="338">
        <v>1.4</v>
      </c>
      <c r="H1021" s="385">
        <f>-4*G1021*F1021</f>
        <v>-14</v>
      </c>
    </row>
    <row r="1022" spans="2:8" s="65" customFormat="1" ht="20.100000000000001" customHeight="1" x14ac:dyDescent="0.25">
      <c r="B1022" s="388"/>
      <c r="C1022" s="277"/>
      <c r="D1022" s="61" t="s">
        <v>859</v>
      </c>
      <c r="E1022" s="340" t="s">
        <v>24</v>
      </c>
      <c r="F1022" s="331">
        <f>8.14+0.018+0.15+1.46+8.08+0.075</f>
        <v>17.922999999999998</v>
      </c>
      <c r="G1022" s="331">
        <v>1.5</v>
      </c>
      <c r="H1022" s="385">
        <f>G1022*F1022</f>
        <v>26.884499999999996</v>
      </c>
    </row>
    <row r="1023" spans="2:8" s="65" customFormat="1" ht="20.100000000000001" customHeight="1" x14ac:dyDescent="0.25">
      <c r="B1023" s="389"/>
      <c r="C1023" s="278"/>
      <c r="D1023" s="61" t="s">
        <v>856</v>
      </c>
      <c r="E1023" s="340" t="s">
        <v>24</v>
      </c>
      <c r="F1023" s="331">
        <v>1.26</v>
      </c>
      <c r="G1023" s="331">
        <v>1.5</v>
      </c>
      <c r="H1023" s="385">
        <f>2*-F1023*G1023</f>
        <v>-3.7800000000000002</v>
      </c>
    </row>
    <row r="1024" spans="2:8" s="65" customFormat="1" ht="20.100000000000001" customHeight="1" x14ac:dyDescent="0.25">
      <c r="B1024" s="389"/>
      <c r="C1024" s="278"/>
      <c r="D1024" s="61" t="s">
        <v>857</v>
      </c>
      <c r="E1024" s="340" t="s">
        <v>24</v>
      </c>
      <c r="F1024" s="331">
        <v>6.8</v>
      </c>
      <c r="G1024" s="331">
        <v>0.6</v>
      </c>
      <c r="H1024" s="385">
        <f t="shared" ref="H1024" si="54">2*-F1024*G1024</f>
        <v>-8.16</v>
      </c>
    </row>
    <row r="1025" spans="2:8" s="65" customFormat="1" ht="20.100000000000001" customHeight="1" x14ac:dyDescent="0.25">
      <c r="B1025" s="389"/>
      <c r="C1025" s="278"/>
      <c r="D1025" s="61" t="s">
        <v>860</v>
      </c>
      <c r="E1025" s="340" t="s">
        <v>24</v>
      </c>
      <c r="F1025" s="331">
        <f>8.4+0.09+0.18+0.15+1.46+8.4+0.09</f>
        <v>18.77</v>
      </c>
      <c r="G1025" s="331">
        <v>1.5</v>
      </c>
      <c r="H1025" s="385">
        <f t="shared" ref="H1025" si="55">G1025*F1025</f>
        <v>28.155000000000001</v>
      </c>
    </row>
    <row r="1026" spans="2:8" s="65" customFormat="1" ht="20.100000000000001" customHeight="1" x14ac:dyDescent="0.25">
      <c r="B1026" s="389"/>
      <c r="C1026" s="278"/>
      <c r="D1026" s="61" t="s">
        <v>856</v>
      </c>
      <c r="E1026" s="340" t="s">
        <v>24</v>
      </c>
      <c r="F1026" s="331">
        <v>1.26</v>
      </c>
      <c r="G1026" s="331">
        <v>1.5</v>
      </c>
      <c r="H1026" s="385">
        <f>2*-F1026*G1026</f>
        <v>-3.7800000000000002</v>
      </c>
    </row>
    <row r="1027" spans="2:8" s="65" customFormat="1" ht="20.100000000000001" customHeight="1" x14ac:dyDescent="0.25">
      <c r="B1027" s="389"/>
      <c r="C1027" s="278"/>
      <c r="D1027" s="61" t="s">
        <v>857</v>
      </c>
      <c r="E1027" s="340" t="s">
        <v>24</v>
      </c>
      <c r="F1027" s="331">
        <v>6.8</v>
      </c>
      <c r="G1027" s="331">
        <v>0.6</v>
      </c>
      <c r="H1027" s="385">
        <f t="shared" ref="H1027" si="56">2*-F1027*G1027</f>
        <v>-8.16</v>
      </c>
    </row>
    <row r="1028" spans="2:8" s="65" customFormat="1" ht="20.100000000000001" customHeight="1" x14ac:dyDescent="0.25">
      <c r="B1028" s="389"/>
      <c r="C1028" s="278"/>
      <c r="D1028" s="61" t="s">
        <v>861</v>
      </c>
      <c r="E1028" s="340" t="s">
        <v>24</v>
      </c>
      <c r="F1028" s="331">
        <f>0.09+7.59+0.15+0.15+6.35+0.15+0.15+7.59+0.09</f>
        <v>22.31</v>
      </c>
      <c r="G1028" s="331">
        <v>1.5</v>
      </c>
      <c r="H1028" s="385">
        <f t="shared" ref="H1028" si="57">G1028*F1028</f>
        <v>33.464999999999996</v>
      </c>
    </row>
    <row r="1029" spans="2:8" s="65" customFormat="1" ht="20.100000000000001" customHeight="1" x14ac:dyDescent="0.25">
      <c r="B1029" s="389"/>
      <c r="C1029" s="278"/>
      <c r="D1029" s="61" t="s">
        <v>773</v>
      </c>
      <c r="E1029" s="340" t="s">
        <v>24</v>
      </c>
      <c r="F1029" s="331">
        <v>1</v>
      </c>
      <c r="G1029" s="338">
        <v>1.5</v>
      </c>
      <c r="H1029" s="385">
        <f>-G1029*F1029*1</f>
        <v>-1.5</v>
      </c>
    </row>
    <row r="1030" spans="2:8" s="65" customFormat="1" ht="20.100000000000001" customHeight="1" x14ac:dyDescent="0.25">
      <c r="B1030" s="389"/>
      <c r="C1030" s="278"/>
      <c r="D1030" s="61" t="s">
        <v>816</v>
      </c>
      <c r="E1030" s="340" t="s">
        <v>24</v>
      </c>
      <c r="F1030" s="331">
        <v>2.5</v>
      </c>
      <c r="G1030" s="338">
        <v>0.6</v>
      </c>
      <c r="H1030" s="385">
        <f>-4*G1030*F1030</f>
        <v>-6</v>
      </c>
    </row>
    <row r="1031" spans="2:8" s="65" customFormat="1" ht="20.100000000000001" customHeight="1" x14ac:dyDescent="0.25">
      <c r="B1031" s="389"/>
      <c r="C1031" s="278"/>
      <c r="D1031" s="61" t="s">
        <v>862</v>
      </c>
      <c r="E1031" s="340" t="s">
        <v>24</v>
      </c>
      <c r="F1031" s="331">
        <f>1.72+0.18+0.18+2.98+0.18+0.18+1.72</f>
        <v>7.14</v>
      </c>
      <c r="G1031" s="331">
        <v>1.5</v>
      </c>
      <c r="H1031" s="385">
        <f>G1031*F1031</f>
        <v>10.709999999999999</v>
      </c>
    </row>
    <row r="1032" spans="2:8" s="65" customFormat="1" ht="20.100000000000001" customHeight="1" x14ac:dyDescent="0.25">
      <c r="B1032" s="389"/>
      <c r="C1032" s="278"/>
      <c r="D1032" s="61" t="s">
        <v>864</v>
      </c>
      <c r="E1032" s="340" t="s">
        <v>24</v>
      </c>
      <c r="F1032" s="331">
        <v>1.3</v>
      </c>
      <c r="G1032" s="338">
        <v>0.6</v>
      </c>
      <c r="H1032" s="385">
        <f>-G1032*F1032*2</f>
        <v>-1.56</v>
      </c>
    </row>
    <row r="1033" spans="2:8" s="65" customFormat="1" ht="20.100000000000001" customHeight="1" x14ac:dyDescent="0.25">
      <c r="B1033" s="389"/>
      <c r="C1033" s="278"/>
      <c r="D1033" s="61" t="s">
        <v>865</v>
      </c>
      <c r="E1033" s="340" t="s">
        <v>24</v>
      </c>
      <c r="F1033" s="331">
        <v>2</v>
      </c>
      <c r="G1033" s="338">
        <v>0.6</v>
      </c>
      <c r="H1033" s="385">
        <f>-G1033*F1033</f>
        <v>-1.2</v>
      </c>
    </row>
    <row r="1034" spans="2:8" s="65" customFormat="1" ht="20.100000000000001" customHeight="1" x14ac:dyDescent="0.25">
      <c r="B1034" s="389"/>
      <c r="C1034" s="278"/>
      <c r="D1034" s="61" t="s">
        <v>863</v>
      </c>
      <c r="E1034" s="340" t="s">
        <v>24</v>
      </c>
      <c r="F1034" s="331">
        <f>1.46+0.15+2.98+1.46+0.15</f>
        <v>6.2</v>
      </c>
      <c r="G1034" s="331">
        <v>1.5</v>
      </c>
      <c r="H1034" s="385">
        <f>G1034*F1034</f>
        <v>9.3000000000000007</v>
      </c>
    </row>
    <row r="1035" spans="2:8" s="65" customFormat="1" ht="20.100000000000001" customHeight="1" x14ac:dyDescent="0.25">
      <c r="B1035" s="389"/>
      <c r="C1035" s="278"/>
      <c r="D1035" s="61" t="s">
        <v>865</v>
      </c>
      <c r="E1035" s="340" t="s">
        <v>24</v>
      </c>
      <c r="F1035" s="331">
        <v>2</v>
      </c>
      <c r="G1035" s="338">
        <v>0.6</v>
      </c>
      <c r="H1035" s="385">
        <f>-G1035*F1035</f>
        <v>-1.2</v>
      </c>
    </row>
    <row r="1036" spans="2:8" s="65" customFormat="1" ht="20.100000000000001" customHeight="1" x14ac:dyDescent="0.25">
      <c r="B1036" s="389"/>
      <c r="C1036" s="278"/>
      <c r="D1036" s="61" t="s">
        <v>856</v>
      </c>
      <c r="E1036" s="340" t="s">
        <v>24</v>
      </c>
      <c r="F1036" s="331">
        <v>1.26</v>
      </c>
      <c r="G1036" s="331">
        <v>1.5</v>
      </c>
      <c r="H1036" s="385">
        <f>2*-F1036*G1036</f>
        <v>-3.7800000000000002</v>
      </c>
    </row>
    <row r="1037" spans="2:8" s="65" customFormat="1" ht="20.100000000000001" customHeight="1" x14ac:dyDescent="0.25">
      <c r="B1037" s="389"/>
      <c r="C1037" s="278"/>
      <c r="D1037" s="61" t="s">
        <v>872</v>
      </c>
      <c r="E1037" s="340" t="s">
        <v>24</v>
      </c>
      <c r="F1037" s="331">
        <f>8+8+6.05+6.05</f>
        <v>28.1</v>
      </c>
      <c r="G1037" s="331">
        <v>1.5</v>
      </c>
      <c r="H1037" s="385">
        <f>G1037*F1037</f>
        <v>42.150000000000006</v>
      </c>
    </row>
    <row r="1038" spans="2:8" s="65" customFormat="1" ht="20.100000000000001" customHeight="1" x14ac:dyDescent="0.25">
      <c r="B1038" s="389"/>
      <c r="C1038" s="278"/>
      <c r="D1038" s="61" t="s">
        <v>773</v>
      </c>
      <c r="E1038" s="340" t="s">
        <v>24</v>
      </c>
      <c r="F1038" s="331">
        <v>1</v>
      </c>
      <c r="G1038" s="338">
        <v>1.5</v>
      </c>
      <c r="H1038" s="385">
        <f>-G1038*F1038*1</f>
        <v>-1.5</v>
      </c>
    </row>
    <row r="1039" spans="2:8" s="65" customFormat="1" ht="20.100000000000001" customHeight="1" x14ac:dyDescent="0.25">
      <c r="B1039" s="389"/>
      <c r="C1039" s="278"/>
      <c r="D1039" s="61" t="s">
        <v>816</v>
      </c>
      <c r="E1039" s="340" t="s">
        <v>24</v>
      </c>
      <c r="F1039" s="331">
        <v>2.5</v>
      </c>
      <c r="G1039" s="338">
        <v>0.6</v>
      </c>
      <c r="H1039" s="385">
        <f>-4*G1039*F1039</f>
        <v>-6</v>
      </c>
    </row>
    <row r="1040" spans="2:8" s="65" customFormat="1" ht="20.100000000000001" customHeight="1" x14ac:dyDescent="0.25">
      <c r="B1040" s="389"/>
      <c r="C1040" s="278"/>
      <c r="D1040" s="61" t="s">
        <v>873</v>
      </c>
      <c r="E1040" s="340" t="s">
        <v>24</v>
      </c>
      <c r="F1040" s="331">
        <f>8+6+6+8</f>
        <v>28</v>
      </c>
      <c r="G1040" s="331">
        <v>1.5</v>
      </c>
      <c r="H1040" s="385">
        <f>G1040*F1040</f>
        <v>42</v>
      </c>
    </row>
    <row r="1041" spans="2:8" s="65" customFormat="1" ht="20.100000000000001" customHeight="1" x14ac:dyDescent="0.25">
      <c r="B1041" s="389"/>
      <c r="C1041" s="278"/>
      <c r="D1041" s="61" t="s">
        <v>874</v>
      </c>
      <c r="E1041" s="340" t="s">
        <v>24</v>
      </c>
      <c r="F1041" s="331">
        <v>0.8</v>
      </c>
      <c r="G1041" s="338">
        <v>1.5</v>
      </c>
      <c r="H1041" s="385">
        <f>-G1041*F1041*1</f>
        <v>-1.2000000000000002</v>
      </c>
    </row>
    <row r="1042" spans="2:8" s="65" customFormat="1" ht="20.100000000000001" customHeight="1" x14ac:dyDescent="0.25">
      <c r="B1042" s="389"/>
      <c r="C1042" s="278"/>
      <c r="D1042" s="61" t="s">
        <v>816</v>
      </c>
      <c r="E1042" s="340" t="s">
        <v>24</v>
      </c>
      <c r="F1042" s="331">
        <v>2.5</v>
      </c>
      <c r="G1042" s="338">
        <v>0.6</v>
      </c>
      <c r="H1042" s="385">
        <f>-4*G1042*F1042</f>
        <v>-6</v>
      </c>
    </row>
    <row r="1043" spans="2:8" s="65" customFormat="1" ht="20.100000000000001" customHeight="1" x14ac:dyDescent="0.25">
      <c r="B1043" s="389"/>
      <c r="C1043" s="278"/>
      <c r="D1043" s="61" t="s">
        <v>875</v>
      </c>
      <c r="E1043" s="340" t="s">
        <v>24</v>
      </c>
      <c r="F1043" s="252">
        <f>0.1+8+0.15+0.15+6.05+0.15+8+0.15+0.1</f>
        <v>22.85</v>
      </c>
      <c r="G1043" s="331">
        <v>1.5</v>
      </c>
      <c r="H1043" s="385">
        <f>G1043*F1046</f>
        <v>34.237499999999997</v>
      </c>
    </row>
    <row r="1044" spans="2:8" s="65" customFormat="1" ht="20.100000000000001" customHeight="1" x14ac:dyDescent="0.25">
      <c r="B1044" s="389"/>
      <c r="C1044" s="278"/>
      <c r="D1044" s="61" t="s">
        <v>773</v>
      </c>
      <c r="E1044" s="340" t="s">
        <v>24</v>
      </c>
      <c r="F1044" s="331">
        <v>1</v>
      </c>
      <c r="G1044" s="338">
        <v>1.5</v>
      </c>
      <c r="H1044" s="385">
        <f>-G1044*F1044*1</f>
        <v>-1.5</v>
      </c>
    </row>
    <row r="1045" spans="2:8" s="65" customFormat="1" ht="20.100000000000001" customHeight="1" x14ac:dyDescent="0.25">
      <c r="B1045" s="389"/>
      <c r="C1045" s="278"/>
      <c r="D1045" s="61" t="s">
        <v>816</v>
      </c>
      <c r="E1045" s="340" t="s">
        <v>24</v>
      </c>
      <c r="F1045" s="331">
        <v>2.5</v>
      </c>
      <c r="G1045" s="338">
        <v>0.6</v>
      </c>
      <c r="H1045" s="385">
        <f>-4*G1045*F1045</f>
        <v>-6</v>
      </c>
    </row>
    <row r="1046" spans="2:8" s="65" customFormat="1" ht="20.100000000000001" customHeight="1" x14ac:dyDescent="0.25">
      <c r="B1046" s="389"/>
      <c r="C1046" s="278"/>
      <c r="D1046" s="61" t="s">
        <v>876</v>
      </c>
      <c r="E1046" s="340" t="s">
        <v>24</v>
      </c>
      <c r="F1046" s="331">
        <f>6+8+8+0.1+0.15+0.15+0.2+0.15+0.075</f>
        <v>22.824999999999996</v>
      </c>
      <c r="G1046" s="331">
        <v>1.5</v>
      </c>
      <c r="H1046" s="385">
        <f>G1046*F1046</f>
        <v>34.237499999999997</v>
      </c>
    </row>
    <row r="1047" spans="2:8" s="65" customFormat="1" ht="20.100000000000001" customHeight="1" x14ac:dyDescent="0.25">
      <c r="B1047" s="389"/>
      <c r="C1047" s="278"/>
      <c r="D1047" s="61" t="s">
        <v>874</v>
      </c>
      <c r="E1047" s="340" t="s">
        <v>24</v>
      </c>
      <c r="F1047" s="331">
        <v>0.8</v>
      </c>
      <c r="G1047" s="338">
        <v>1.5</v>
      </c>
      <c r="H1047" s="385">
        <f>-G1047*F1047*1</f>
        <v>-1.2000000000000002</v>
      </c>
    </row>
    <row r="1048" spans="2:8" s="65" customFormat="1" ht="20.100000000000001" customHeight="1" x14ac:dyDescent="0.25">
      <c r="B1048" s="389"/>
      <c r="C1048" s="278"/>
      <c r="D1048" s="61" t="s">
        <v>816</v>
      </c>
      <c r="E1048" s="340" t="s">
        <v>24</v>
      </c>
      <c r="F1048" s="331">
        <v>2.5</v>
      </c>
      <c r="G1048" s="338">
        <v>0.6</v>
      </c>
      <c r="H1048" s="385">
        <f>-4*G1048*F1048</f>
        <v>-6</v>
      </c>
    </row>
    <row r="1049" spans="2:8" s="65" customFormat="1" ht="20.100000000000001" customHeight="1" x14ac:dyDescent="0.25">
      <c r="B1049" s="389"/>
      <c r="C1049" s="278"/>
      <c r="D1049" s="61" t="s">
        <v>877</v>
      </c>
      <c r="E1049" s="340" t="s">
        <v>24</v>
      </c>
      <c r="F1049" s="331">
        <f t="shared" ref="F1049" si="58">1.25+0.15+6.15+0.2+0.15+4+0.15+3.805+2.9+0.15+2.9</f>
        <v>21.805</v>
      </c>
      <c r="G1049" s="331">
        <v>3</v>
      </c>
      <c r="H1049" s="385">
        <f t="shared" ref="H1049" si="59">G1049*F1049</f>
        <v>65.414999999999992</v>
      </c>
    </row>
    <row r="1050" spans="2:8" s="65" customFormat="1" ht="20.100000000000001" customHeight="1" x14ac:dyDescent="0.25">
      <c r="B1050" s="390"/>
      <c r="C1050" s="279"/>
      <c r="D1050" s="61" t="s">
        <v>878</v>
      </c>
      <c r="E1050" s="340" t="s">
        <v>24</v>
      </c>
      <c r="F1050" s="338">
        <v>3</v>
      </c>
      <c r="G1050" s="338">
        <v>0.6</v>
      </c>
      <c r="H1050" s="385">
        <f t="shared" ref="H1050" si="60">-2*G1050*F1050</f>
        <v>-3.5999999999999996</v>
      </c>
    </row>
    <row r="1051" spans="2:8" s="65" customFormat="1" ht="20.100000000000001" customHeight="1" x14ac:dyDescent="0.25">
      <c r="B1051" s="386" t="s">
        <v>979</v>
      </c>
      <c r="C1051" s="163">
        <v>121001</v>
      </c>
      <c r="D1051" s="153" t="s">
        <v>781</v>
      </c>
      <c r="E1051" s="162" t="s">
        <v>24</v>
      </c>
      <c r="F1051" s="485" t="s">
        <v>803</v>
      </c>
      <c r="G1051" s="486"/>
      <c r="H1051" s="400">
        <f>SUM(H1052:H1056)</f>
        <v>4.9589999999999996</v>
      </c>
    </row>
    <row r="1052" spans="2:8" s="65" customFormat="1" ht="20.100000000000001" customHeight="1" x14ac:dyDescent="0.25">
      <c r="B1052" s="409"/>
      <c r="C1052" s="336"/>
      <c r="D1052" s="156" t="s">
        <v>782</v>
      </c>
      <c r="E1052" s="339" t="s">
        <v>24</v>
      </c>
      <c r="F1052" s="506">
        <f>1.1*0.595</f>
        <v>0.65449999999999997</v>
      </c>
      <c r="G1052" s="507"/>
      <c r="H1052" s="391">
        <f>F1052</f>
        <v>0.65449999999999997</v>
      </c>
    </row>
    <row r="1053" spans="2:8" s="65" customFormat="1" ht="20.100000000000001" customHeight="1" x14ac:dyDescent="0.25">
      <c r="B1053" s="409"/>
      <c r="C1053" s="336"/>
      <c r="D1053" s="156" t="s">
        <v>784</v>
      </c>
      <c r="E1053" s="339" t="s">
        <v>24</v>
      </c>
      <c r="F1053" s="506">
        <f>1.1*0.595</f>
        <v>0.65449999999999997</v>
      </c>
      <c r="G1053" s="507"/>
      <c r="H1053" s="391">
        <f>F1053</f>
        <v>0.65449999999999997</v>
      </c>
    </row>
    <row r="1054" spans="2:8" s="65" customFormat="1" ht="20.100000000000001" customHeight="1" x14ac:dyDescent="0.25">
      <c r="B1054" s="409"/>
      <c r="C1054" s="336"/>
      <c r="D1054" s="156" t="s">
        <v>1274</v>
      </c>
      <c r="E1054" s="339" t="s">
        <v>24</v>
      </c>
      <c r="F1054" s="506">
        <v>0.65</v>
      </c>
      <c r="G1054" s="507"/>
      <c r="H1054" s="391">
        <f>F1054</f>
        <v>0.65</v>
      </c>
    </row>
    <row r="1055" spans="2:8" s="65" customFormat="1" ht="20.100000000000001" customHeight="1" x14ac:dyDescent="0.25">
      <c r="B1055" s="409"/>
      <c r="C1055" s="336"/>
      <c r="D1055" s="156" t="s">
        <v>922</v>
      </c>
      <c r="E1055" s="339" t="s">
        <v>24</v>
      </c>
      <c r="F1055" s="506">
        <v>1.5</v>
      </c>
      <c r="G1055" s="507"/>
      <c r="H1055" s="391">
        <f t="shared" ref="H1055:H1056" si="61">F1055</f>
        <v>1.5</v>
      </c>
    </row>
    <row r="1056" spans="2:8" s="65" customFormat="1" ht="20.100000000000001" customHeight="1" x14ac:dyDescent="0.25">
      <c r="B1056" s="409"/>
      <c r="C1056" s="336"/>
      <c r="D1056" s="156" t="s">
        <v>921</v>
      </c>
      <c r="E1056" s="339" t="s">
        <v>24</v>
      </c>
      <c r="F1056" s="506">
        <v>1.5</v>
      </c>
      <c r="G1056" s="507"/>
      <c r="H1056" s="391">
        <f t="shared" si="61"/>
        <v>1.5</v>
      </c>
    </row>
    <row r="1057" spans="2:8" s="65" customFormat="1" ht="31.5" x14ac:dyDescent="0.25">
      <c r="B1057" s="386" t="s">
        <v>980</v>
      </c>
      <c r="C1057" s="163" t="s">
        <v>783</v>
      </c>
      <c r="D1057" s="80" t="s">
        <v>779</v>
      </c>
      <c r="E1057" s="162" t="s">
        <v>24</v>
      </c>
      <c r="F1057" s="330" t="s">
        <v>26</v>
      </c>
      <c r="G1057" s="330" t="s">
        <v>31</v>
      </c>
      <c r="H1057" s="387">
        <f>SUM(H1058:H1065)</f>
        <v>97.89</v>
      </c>
    </row>
    <row r="1058" spans="2:8" s="65" customFormat="1" ht="20.100000000000001" customHeight="1" x14ac:dyDescent="0.25">
      <c r="B1058" s="388"/>
      <c r="C1058" s="277"/>
      <c r="D1058" s="61" t="s">
        <v>776</v>
      </c>
      <c r="E1058" s="340" t="s">
        <v>24</v>
      </c>
      <c r="F1058" s="338">
        <f>12.86+6.2</f>
        <v>19.059999999999999</v>
      </c>
      <c r="G1058" s="338">
        <v>3</v>
      </c>
      <c r="H1058" s="385">
        <f>G1058*F1058</f>
        <v>57.179999999999993</v>
      </c>
    </row>
    <row r="1059" spans="2:8" s="65" customFormat="1" ht="20.100000000000001" customHeight="1" x14ac:dyDescent="0.25">
      <c r="B1059" s="389"/>
      <c r="C1059" s="278"/>
      <c r="D1059" s="61" t="s">
        <v>777</v>
      </c>
      <c r="E1059" s="340" t="s">
        <v>24</v>
      </c>
      <c r="F1059" s="338">
        <v>1.8</v>
      </c>
      <c r="G1059" s="338">
        <v>1.4</v>
      </c>
      <c r="H1059" s="385">
        <f>-G1059*F1059</f>
        <v>-2.52</v>
      </c>
    </row>
    <row r="1060" spans="2:8" s="65" customFormat="1" ht="20.100000000000001" customHeight="1" x14ac:dyDescent="0.25">
      <c r="B1060" s="389"/>
      <c r="C1060" s="278"/>
      <c r="D1060" s="61" t="s">
        <v>778</v>
      </c>
      <c r="E1060" s="340" t="s">
        <v>24</v>
      </c>
      <c r="F1060" s="338">
        <v>1.9</v>
      </c>
      <c r="G1060" s="338">
        <v>0.75</v>
      </c>
      <c r="H1060" s="385">
        <f>-G1060*F1060</f>
        <v>-1.4249999999999998</v>
      </c>
    </row>
    <row r="1061" spans="2:8" s="65" customFormat="1" ht="20.100000000000001" customHeight="1" x14ac:dyDescent="0.25">
      <c r="B1061" s="389"/>
      <c r="C1061" s="278"/>
      <c r="D1061" s="61" t="s">
        <v>767</v>
      </c>
      <c r="E1061" s="340" t="s">
        <v>24</v>
      </c>
      <c r="F1061" s="338">
        <v>1</v>
      </c>
      <c r="G1061" s="338">
        <v>2.1</v>
      </c>
      <c r="H1061" s="385">
        <f>-G1061*F1061*2</f>
        <v>-4.2</v>
      </c>
    </row>
    <row r="1062" spans="2:8" s="65" customFormat="1" ht="20.100000000000001" customHeight="1" x14ac:dyDescent="0.25">
      <c r="B1062" s="389"/>
      <c r="C1062" s="278"/>
      <c r="D1062" s="61" t="s">
        <v>785</v>
      </c>
      <c r="E1062" s="340" t="s">
        <v>24</v>
      </c>
      <c r="F1062" s="338">
        <f>3.3+3.3+6.2+6.2</f>
        <v>19</v>
      </c>
      <c r="G1062" s="338">
        <v>3</v>
      </c>
      <c r="H1062" s="385">
        <f>G1062*F1062</f>
        <v>57</v>
      </c>
    </row>
    <row r="1063" spans="2:8" s="65" customFormat="1" ht="20.100000000000001" customHeight="1" x14ac:dyDescent="0.25">
      <c r="B1063" s="389"/>
      <c r="C1063" s="278"/>
      <c r="D1063" s="61" t="s">
        <v>777</v>
      </c>
      <c r="E1063" s="340" t="s">
        <v>24</v>
      </c>
      <c r="F1063" s="338">
        <v>1.8</v>
      </c>
      <c r="G1063" s="338">
        <v>1.4</v>
      </c>
      <c r="H1063" s="385">
        <f>-G1063*F1063</f>
        <v>-2.52</v>
      </c>
    </row>
    <row r="1064" spans="2:8" s="65" customFormat="1" ht="20.100000000000001" customHeight="1" x14ac:dyDescent="0.25">
      <c r="B1064" s="390"/>
      <c r="C1064" s="279"/>
      <c r="D1064" s="61" t="s">
        <v>778</v>
      </c>
      <c r="E1064" s="340" t="s">
        <v>24</v>
      </c>
      <c r="F1064" s="338">
        <v>1.9</v>
      </c>
      <c r="G1064" s="338">
        <v>0.75</v>
      </c>
      <c r="H1064" s="385">
        <f>-G1064*F1064</f>
        <v>-1.4249999999999998</v>
      </c>
    </row>
    <row r="1065" spans="2:8" s="65" customFormat="1" ht="20.100000000000001" customHeight="1" x14ac:dyDescent="0.25">
      <c r="B1065" s="410"/>
      <c r="C1065" s="280"/>
      <c r="D1065" s="61" t="s">
        <v>767</v>
      </c>
      <c r="E1065" s="340" t="s">
        <v>24</v>
      </c>
      <c r="F1065" s="338">
        <v>1</v>
      </c>
      <c r="G1065" s="338">
        <v>2.1</v>
      </c>
      <c r="H1065" s="385">
        <f>-G1065*F1065*2</f>
        <v>-4.2</v>
      </c>
    </row>
    <row r="1066" spans="2:8" s="65" customFormat="1" ht="29.25" customHeight="1" x14ac:dyDescent="0.25">
      <c r="B1066" s="457" t="s">
        <v>724</v>
      </c>
      <c r="C1066" s="458"/>
      <c r="D1066" s="459"/>
      <c r="E1066" s="459"/>
      <c r="F1066" s="459"/>
      <c r="G1066" s="459"/>
      <c r="H1066" s="460"/>
    </row>
    <row r="1067" spans="2:8" s="65" customFormat="1" ht="20.100000000000001" customHeight="1" x14ac:dyDescent="0.25">
      <c r="B1067" s="377">
        <v>11</v>
      </c>
      <c r="C1067" s="233">
        <v>140000</v>
      </c>
      <c r="D1067" s="491" t="s">
        <v>725</v>
      </c>
      <c r="E1067" s="492"/>
      <c r="F1067" s="492"/>
      <c r="G1067" s="493"/>
      <c r="H1067" s="395" t="s">
        <v>6</v>
      </c>
    </row>
    <row r="1068" spans="2:8" s="65" customFormat="1" ht="18.75" customHeight="1" x14ac:dyDescent="0.25">
      <c r="B1068" s="386" t="s">
        <v>84</v>
      </c>
      <c r="C1068" s="163">
        <v>140201</v>
      </c>
      <c r="D1068" s="80" t="s">
        <v>726</v>
      </c>
      <c r="E1068" s="79" t="s">
        <v>24</v>
      </c>
      <c r="F1068" s="330" t="s">
        <v>26</v>
      </c>
      <c r="G1068" s="330" t="s">
        <v>27</v>
      </c>
      <c r="H1068" s="387">
        <f>SUM(H1069:H1070)</f>
        <v>92.474999999999994</v>
      </c>
    </row>
    <row r="1069" spans="2:8" s="65" customFormat="1" ht="20.100000000000001" customHeight="1" x14ac:dyDescent="0.25">
      <c r="B1069" s="447"/>
      <c r="C1069" s="448"/>
      <c r="D1069" s="61" t="s">
        <v>727</v>
      </c>
      <c r="E1069" s="340" t="s">
        <v>24</v>
      </c>
      <c r="F1069" s="331">
        <v>7.75</v>
      </c>
      <c r="G1069" s="331">
        <v>6.9</v>
      </c>
      <c r="H1069" s="385">
        <f>G1069*F1069</f>
        <v>53.475000000000001</v>
      </c>
    </row>
    <row r="1070" spans="2:8" s="65" customFormat="1" ht="20.100000000000001" customHeight="1" x14ac:dyDescent="0.25">
      <c r="B1070" s="447"/>
      <c r="C1070" s="448"/>
      <c r="D1070" s="61" t="s">
        <v>728</v>
      </c>
      <c r="E1070" s="340" t="s">
        <v>24</v>
      </c>
      <c r="F1070" s="331">
        <v>6</v>
      </c>
      <c r="G1070" s="331">
        <v>6.5</v>
      </c>
      <c r="H1070" s="385">
        <f>G1070*F1070</f>
        <v>39</v>
      </c>
    </row>
    <row r="1071" spans="2:8" s="65" customFormat="1" ht="18.75" customHeight="1" x14ac:dyDescent="0.25">
      <c r="B1071" s="386" t="s">
        <v>1149</v>
      </c>
      <c r="C1071" s="163">
        <v>140200</v>
      </c>
      <c r="D1071" s="80" t="s">
        <v>1148</v>
      </c>
      <c r="E1071" s="79" t="s">
        <v>24</v>
      </c>
      <c r="F1071" s="330" t="s">
        <v>26</v>
      </c>
      <c r="G1071" s="330" t="s">
        <v>27</v>
      </c>
      <c r="H1071" s="387">
        <f>SUM(H1072:H1072)</f>
        <v>2.7720000000000002</v>
      </c>
    </row>
    <row r="1072" spans="2:8" s="65" customFormat="1" ht="20.100000000000001" customHeight="1" x14ac:dyDescent="0.25">
      <c r="B1072" s="463"/>
      <c r="C1072" s="464"/>
      <c r="D1072" s="61" t="s">
        <v>757</v>
      </c>
      <c r="E1072" s="340" t="s">
        <v>24</v>
      </c>
      <c r="F1072" s="331">
        <v>2.2000000000000002</v>
      </c>
      <c r="G1072" s="331">
        <v>1.26</v>
      </c>
      <c r="H1072" s="385">
        <f>G1072*F1072</f>
        <v>2.7720000000000002</v>
      </c>
    </row>
    <row r="1073" spans="2:8" s="65" customFormat="1" ht="20.100000000000001" customHeight="1" x14ac:dyDescent="0.25">
      <c r="B1073" s="457" t="s">
        <v>729</v>
      </c>
      <c r="C1073" s="458"/>
      <c r="D1073" s="459"/>
      <c r="E1073" s="459"/>
      <c r="F1073" s="459"/>
      <c r="G1073" s="459"/>
      <c r="H1073" s="460"/>
    </row>
    <row r="1074" spans="2:8" s="65" customFormat="1" ht="20.100000000000001" customHeight="1" x14ac:dyDescent="0.25">
      <c r="B1074" s="377">
        <v>12</v>
      </c>
      <c r="C1074" s="233">
        <v>160000</v>
      </c>
      <c r="D1074" s="491" t="s">
        <v>73</v>
      </c>
      <c r="E1074" s="492"/>
      <c r="F1074" s="492"/>
      <c r="G1074" s="493"/>
      <c r="H1074" s="395" t="s">
        <v>6</v>
      </c>
    </row>
    <row r="1075" spans="2:8" s="65" customFormat="1" ht="20.100000000000001" customHeight="1" x14ac:dyDescent="0.25">
      <c r="B1075" s="386" t="s">
        <v>92</v>
      </c>
      <c r="C1075" s="163">
        <v>160501</v>
      </c>
      <c r="D1075" s="80" t="s">
        <v>730</v>
      </c>
      <c r="E1075" s="79" t="s">
        <v>24</v>
      </c>
      <c r="F1075" s="330" t="s">
        <v>26</v>
      </c>
      <c r="G1075" s="330" t="s">
        <v>27</v>
      </c>
      <c r="H1075" s="387">
        <f>SUM(H1076:H1078)</f>
        <v>95.247</v>
      </c>
    </row>
    <row r="1076" spans="2:8" s="65" customFormat="1" ht="20.100000000000001" customHeight="1" x14ac:dyDescent="0.25">
      <c r="B1076" s="465"/>
      <c r="C1076" s="466"/>
      <c r="D1076" s="61" t="s">
        <v>727</v>
      </c>
      <c r="E1076" s="340" t="s">
        <v>24</v>
      </c>
      <c r="F1076" s="331">
        <v>7.75</v>
      </c>
      <c r="G1076" s="331">
        <v>6.9</v>
      </c>
      <c r="H1076" s="385">
        <f>G1076*F1076</f>
        <v>53.475000000000001</v>
      </c>
    </row>
    <row r="1077" spans="2:8" s="65" customFormat="1" ht="20.100000000000001" customHeight="1" x14ac:dyDescent="0.25">
      <c r="B1077" s="473"/>
      <c r="C1077" s="474"/>
      <c r="D1077" s="61" t="s">
        <v>728</v>
      </c>
      <c r="E1077" s="340" t="s">
        <v>24</v>
      </c>
      <c r="F1077" s="331">
        <v>6</v>
      </c>
      <c r="G1077" s="331">
        <v>6.5</v>
      </c>
      <c r="H1077" s="385">
        <f>G1077*F1077</f>
        <v>39</v>
      </c>
    </row>
    <row r="1078" spans="2:8" s="65" customFormat="1" ht="20.100000000000001" customHeight="1" x14ac:dyDescent="0.25">
      <c r="B1078" s="467"/>
      <c r="C1078" s="468"/>
      <c r="D1078" s="61" t="s">
        <v>757</v>
      </c>
      <c r="E1078" s="340" t="s">
        <v>24</v>
      </c>
      <c r="F1078" s="331">
        <v>2.2000000000000002</v>
      </c>
      <c r="G1078" s="331">
        <v>1.26</v>
      </c>
      <c r="H1078" s="385">
        <f>G1078*F1078</f>
        <v>2.7720000000000002</v>
      </c>
    </row>
    <row r="1079" spans="2:8" s="65" customFormat="1" ht="31.5" x14ac:dyDescent="0.25">
      <c r="B1079" s="386" t="s">
        <v>93</v>
      </c>
      <c r="C1079" s="162" t="s">
        <v>706</v>
      </c>
      <c r="D1079" s="88" t="s">
        <v>707</v>
      </c>
      <c r="E1079" s="162" t="s">
        <v>29</v>
      </c>
      <c r="F1079" s="455" t="s">
        <v>26</v>
      </c>
      <c r="G1079" s="455"/>
      <c r="H1079" s="387">
        <f>SUM(H1080:H1082)</f>
        <v>130.19999999999999</v>
      </c>
    </row>
    <row r="1080" spans="2:8" s="65" customFormat="1" ht="20.100000000000001" customHeight="1" x14ac:dyDescent="0.25">
      <c r="B1080" s="447"/>
      <c r="C1080" s="448"/>
      <c r="D1080" s="83" t="s">
        <v>708</v>
      </c>
      <c r="E1080" s="67" t="s">
        <v>29</v>
      </c>
      <c r="F1080" s="446">
        <v>33</v>
      </c>
      <c r="G1080" s="446"/>
      <c r="H1080" s="402">
        <f>F1080</f>
        <v>33</v>
      </c>
    </row>
    <row r="1081" spans="2:8" s="65" customFormat="1" ht="20.100000000000001" customHeight="1" x14ac:dyDescent="0.25">
      <c r="B1081" s="447"/>
      <c r="C1081" s="448"/>
      <c r="D1081" s="83" t="s">
        <v>709</v>
      </c>
      <c r="E1081" s="67" t="s">
        <v>29</v>
      </c>
      <c r="F1081" s="446">
        <v>33</v>
      </c>
      <c r="G1081" s="446"/>
      <c r="H1081" s="402">
        <f>F1081</f>
        <v>33</v>
      </c>
    </row>
    <row r="1082" spans="2:8" s="65" customFormat="1" ht="20.100000000000001" customHeight="1" x14ac:dyDescent="0.25">
      <c r="B1082" s="447"/>
      <c r="C1082" s="448"/>
      <c r="D1082" s="83" t="s">
        <v>710</v>
      </c>
      <c r="E1082" s="67" t="s">
        <v>29</v>
      </c>
      <c r="F1082" s="446">
        <f>18+4.7+28+2.5+11</f>
        <v>64.2</v>
      </c>
      <c r="G1082" s="446"/>
      <c r="H1082" s="402">
        <f>F1082</f>
        <v>64.2</v>
      </c>
    </row>
    <row r="1083" spans="2:8" s="65" customFormat="1" ht="20.100000000000001" customHeight="1" x14ac:dyDescent="0.25">
      <c r="B1083" s="447"/>
      <c r="C1083" s="448"/>
      <c r="D1083" s="83" t="s">
        <v>731</v>
      </c>
      <c r="E1083" s="67" t="s">
        <v>29</v>
      </c>
      <c r="F1083" s="446">
        <v>6.9</v>
      </c>
      <c r="G1083" s="446"/>
      <c r="H1083" s="402">
        <f t="shared" ref="H1083:H1084" si="62">F1083</f>
        <v>6.9</v>
      </c>
    </row>
    <row r="1084" spans="2:8" s="65" customFormat="1" ht="20.100000000000001" customHeight="1" x14ac:dyDescent="0.25">
      <c r="B1084" s="447"/>
      <c r="C1084" s="448"/>
      <c r="D1084" s="83" t="s">
        <v>732</v>
      </c>
      <c r="E1084" s="67" t="s">
        <v>29</v>
      </c>
      <c r="F1084" s="446">
        <v>6</v>
      </c>
      <c r="G1084" s="446"/>
      <c r="H1084" s="402">
        <f t="shared" si="62"/>
        <v>6</v>
      </c>
    </row>
    <row r="1085" spans="2:8" s="65" customFormat="1" ht="15.75" x14ac:dyDescent="0.25">
      <c r="B1085" s="386" t="s">
        <v>1033</v>
      </c>
      <c r="C1085" s="162">
        <v>160602</v>
      </c>
      <c r="D1085" s="88" t="s">
        <v>1034</v>
      </c>
      <c r="E1085" s="162" t="s">
        <v>29</v>
      </c>
      <c r="F1085" s="455" t="s">
        <v>26</v>
      </c>
      <c r="G1085" s="455"/>
      <c r="H1085" s="387">
        <f>SUM(H1086:H1089)</f>
        <v>203.1</v>
      </c>
    </row>
    <row r="1086" spans="2:8" s="65" customFormat="1" ht="20.100000000000001" customHeight="1" x14ac:dyDescent="0.25">
      <c r="B1086" s="465"/>
      <c r="C1086" s="466"/>
      <c r="D1086" s="83" t="s">
        <v>1275</v>
      </c>
      <c r="E1086" s="67" t="s">
        <v>24</v>
      </c>
      <c r="F1086" s="461">
        <v>51.7</v>
      </c>
      <c r="G1086" s="462"/>
      <c r="H1086" s="402">
        <f>F1086</f>
        <v>51.7</v>
      </c>
    </row>
    <row r="1087" spans="2:8" s="65" customFormat="1" ht="20.100000000000001" customHeight="1" x14ac:dyDescent="0.25">
      <c r="B1087" s="473"/>
      <c r="C1087" s="474"/>
      <c r="D1087" s="83" t="s">
        <v>1276</v>
      </c>
      <c r="E1087" s="67" t="s">
        <v>24</v>
      </c>
      <c r="F1087" s="461">
        <v>49.85</v>
      </c>
      <c r="G1087" s="462"/>
      <c r="H1087" s="402">
        <f t="shared" ref="H1087:H1089" si="63">F1087</f>
        <v>49.85</v>
      </c>
    </row>
    <row r="1088" spans="2:8" s="65" customFormat="1" ht="20.100000000000001" customHeight="1" x14ac:dyDescent="0.25">
      <c r="B1088" s="473"/>
      <c r="C1088" s="474"/>
      <c r="D1088" s="83" t="s">
        <v>1277</v>
      </c>
      <c r="E1088" s="67" t="s">
        <v>24</v>
      </c>
      <c r="F1088" s="461">
        <v>51.7</v>
      </c>
      <c r="G1088" s="462"/>
      <c r="H1088" s="402">
        <f t="shared" si="63"/>
        <v>51.7</v>
      </c>
    </row>
    <row r="1089" spans="2:8" s="65" customFormat="1" ht="20.100000000000001" customHeight="1" x14ac:dyDescent="0.25">
      <c r="B1089" s="467"/>
      <c r="C1089" s="468"/>
      <c r="D1089" s="83" t="s">
        <v>1276</v>
      </c>
      <c r="E1089" s="67" t="s">
        <v>24</v>
      </c>
      <c r="F1089" s="461">
        <v>49.85</v>
      </c>
      <c r="G1089" s="462"/>
      <c r="H1089" s="402">
        <f t="shared" si="63"/>
        <v>49.85</v>
      </c>
    </row>
    <row r="1090" spans="2:8" s="65" customFormat="1" ht="20.100000000000001" customHeight="1" x14ac:dyDescent="0.25">
      <c r="B1090" s="457" t="s">
        <v>305</v>
      </c>
      <c r="C1090" s="458"/>
      <c r="D1090" s="459"/>
      <c r="E1090" s="459"/>
      <c r="F1090" s="459"/>
      <c r="G1090" s="459"/>
      <c r="H1090" s="460"/>
    </row>
    <row r="1091" spans="2:8" s="65" customFormat="1" ht="15.75" x14ac:dyDescent="0.25">
      <c r="B1091" s="377">
        <v>13</v>
      </c>
      <c r="C1091" s="233">
        <v>170000</v>
      </c>
      <c r="D1091" s="491" t="s">
        <v>306</v>
      </c>
      <c r="E1091" s="492"/>
      <c r="F1091" s="492"/>
      <c r="G1091" s="493"/>
      <c r="H1091" s="395" t="s">
        <v>755</v>
      </c>
    </row>
    <row r="1092" spans="2:8" s="65" customFormat="1" ht="20.100000000000001" customHeight="1" x14ac:dyDescent="0.25">
      <c r="B1092" s="386" t="s">
        <v>515</v>
      </c>
      <c r="C1092" s="163">
        <v>170103</v>
      </c>
      <c r="D1092" s="78" t="s">
        <v>307</v>
      </c>
      <c r="E1092" s="79" t="s">
        <v>309</v>
      </c>
      <c r="F1092" s="481" t="s">
        <v>308</v>
      </c>
      <c r="G1092" s="481"/>
      <c r="H1092" s="387">
        <f>SUM(H1093:H1100)</f>
        <v>11</v>
      </c>
    </row>
    <row r="1093" spans="2:8" s="65" customFormat="1" ht="15" x14ac:dyDescent="0.25">
      <c r="B1093" s="447"/>
      <c r="C1093" s="448"/>
      <c r="D1093" s="83" t="s">
        <v>163</v>
      </c>
      <c r="E1093" s="67" t="s">
        <v>309</v>
      </c>
      <c r="F1093" s="446">
        <v>2</v>
      </c>
      <c r="G1093" s="446"/>
      <c r="H1093" s="402">
        <f>F1093</f>
        <v>2</v>
      </c>
    </row>
    <row r="1094" spans="2:8" s="65" customFormat="1" ht="20.100000000000001" customHeight="1" x14ac:dyDescent="0.25">
      <c r="B1094" s="447"/>
      <c r="C1094" s="448"/>
      <c r="D1094" s="83" t="s">
        <v>164</v>
      </c>
      <c r="E1094" s="67" t="s">
        <v>309</v>
      </c>
      <c r="F1094" s="446">
        <v>2</v>
      </c>
      <c r="G1094" s="446"/>
      <c r="H1094" s="402">
        <f t="shared" ref="H1094:H1100" si="64">F1094</f>
        <v>2</v>
      </c>
    </row>
    <row r="1095" spans="2:8" s="65" customFormat="1" ht="20.100000000000001" customHeight="1" x14ac:dyDescent="0.25">
      <c r="B1095" s="447"/>
      <c r="C1095" s="448"/>
      <c r="D1095" s="83" t="s">
        <v>310</v>
      </c>
      <c r="E1095" s="67" t="s">
        <v>309</v>
      </c>
      <c r="F1095" s="446">
        <v>1</v>
      </c>
      <c r="G1095" s="446"/>
      <c r="H1095" s="402">
        <f t="shared" si="64"/>
        <v>1</v>
      </c>
    </row>
    <row r="1096" spans="2:8" s="65" customFormat="1" ht="20.100000000000001" customHeight="1" x14ac:dyDescent="0.25">
      <c r="B1096" s="447"/>
      <c r="C1096" s="448"/>
      <c r="D1096" s="83" t="s">
        <v>147</v>
      </c>
      <c r="E1096" s="67" t="s">
        <v>309</v>
      </c>
      <c r="F1096" s="446">
        <v>1</v>
      </c>
      <c r="G1096" s="446"/>
      <c r="H1096" s="402">
        <f t="shared" si="64"/>
        <v>1</v>
      </c>
    </row>
    <row r="1097" spans="2:8" s="65" customFormat="1" ht="20.100000000000001" customHeight="1" x14ac:dyDescent="0.25">
      <c r="B1097" s="447"/>
      <c r="C1097" s="448"/>
      <c r="D1097" s="83" t="s">
        <v>311</v>
      </c>
      <c r="E1097" s="67" t="s">
        <v>309</v>
      </c>
      <c r="F1097" s="446">
        <v>1</v>
      </c>
      <c r="G1097" s="446"/>
      <c r="H1097" s="402">
        <f t="shared" si="64"/>
        <v>1</v>
      </c>
    </row>
    <row r="1098" spans="2:8" s="65" customFormat="1" ht="20.100000000000001" customHeight="1" x14ac:dyDescent="0.25">
      <c r="B1098" s="447"/>
      <c r="C1098" s="448"/>
      <c r="D1098" s="83" t="s">
        <v>312</v>
      </c>
      <c r="E1098" s="67" t="s">
        <v>309</v>
      </c>
      <c r="F1098" s="446">
        <v>1</v>
      </c>
      <c r="G1098" s="446"/>
      <c r="H1098" s="402">
        <f t="shared" si="64"/>
        <v>1</v>
      </c>
    </row>
    <row r="1099" spans="2:8" s="65" customFormat="1" ht="20.100000000000001" customHeight="1" x14ac:dyDescent="0.25">
      <c r="B1099" s="447"/>
      <c r="C1099" s="448"/>
      <c r="D1099" s="83" t="s">
        <v>313</v>
      </c>
      <c r="E1099" s="67" t="s">
        <v>309</v>
      </c>
      <c r="F1099" s="446">
        <v>2</v>
      </c>
      <c r="G1099" s="446"/>
      <c r="H1099" s="402">
        <f t="shared" si="64"/>
        <v>2</v>
      </c>
    </row>
    <row r="1100" spans="2:8" s="65" customFormat="1" ht="20.100000000000001" customHeight="1" x14ac:dyDescent="0.25">
      <c r="B1100" s="447"/>
      <c r="C1100" s="448"/>
      <c r="D1100" s="83" t="s">
        <v>142</v>
      </c>
      <c r="E1100" s="67" t="s">
        <v>309</v>
      </c>
      <c r="F1100" s="446">
        <v>1</v>
      </c>
      <c r="G1100" s="446"/>
      <c r="H1100" s="402">
        <f t="shared" si="64"/>
        <v>1</v>
      </c>
    </row>
    <row r="1101" spans="2:8" s="65" customFormat="1" ht="20.100000000000001" customHeight="1" x14ac:dyDescent="0.25">
      <c r="B1101" s="386" t="s">
        <v>516</v>
      </c>
      <c r="C1101" s="163">
        <v>170111</v>
      </c>
      <c r="D1101" s="78" t="s">
        <v>314</v>
      </c>
      <c r="E1101" s="79" t="s">
        <v>309</v>
      </c>
      <c r="F1101" s="481" t="s">
        <v>308</v>
      </c>
      <c r="G1101" s="481"/>
      <c r="H1101" s="387">
        <f>SUM(H1102:H1113)</f>
        <v>15</v>
      </c>
    </row>
    <row r="1102" spans="2:8" s="65" customFormat="1" ht="20.100000000000001" customHeight="1" x14ac:dyDescent="0.25">
      <c r="B1102" s="465"/>
      <c r="C1102" s="466"/>
      <c r="D1102" s="83" t="s">
        <v>128</v>
      </c>
      <c r="E1102" s="67" t="s">
        <v>309</v>
      </c>
      <c r="F1102" s="446">
        <v>1</v>
      </c>
      <c r="G1102" s="446"/>
      <c r="H1102" s="402">
        <f>F1102</f>
        <v>1</v>
      </c>
    </row>
    <row r="1103" spans="2:8" s="65" customFormat="1" ht="20.100000000000001" customHeight="1" x14ac:dyDescent="0.25">
      <c r="B1103" s="473"/>
      <c r="C1103" s="474"/>
      <c r="D1103" s="83" t="s">
        <v>315</v>
      </c>
      <c r="E1103" s="67" t="s">
        <v>309</v>
      </c>
      <c r="F1103" s="446">
        <v>2</v>
      </c>
      <c r="G1103" s="446"/>
      <c r="H1103" s="402">
        <f t="shared" ref="H1103:H1113" si="65">F1103</f>
        <v>2</v>
      </c>
    </row>
    <row r="1104" spans="2:8" s="65" customFormat="1" ht="20.100000000000001" customHeight="1" x14ac:dyDescent="0.25">
      <c r="B1104" s="473"/>
      <c r="C1104" s="474"/>
      <c r="D1104" s="83" t="s">
        <v>129</v>
      </c>
      <c r="E1104" s="67" t="s">
        <v>309</v>
      </c>
      <c r="F1104" s="446">
        <v>1</v>
      </c>
      <c r="G1104" s="446"/>
      <c r="H1104" s="402">
        <f t="shared" si="65"/>
        <v>1</v>
      </c>
    </row>
    <row r="1105" spans="2:8" s="65" customFormat="1" ht="20.100000000000001" customHeight="1" x14ac:dyDescent="0.25">
      <c r="B1105" s="473"/>
      <c r="C1105" s="474"/>
      <c r="D1105" s="83" t="s">
        <v>120</v>
      </c>
      <c r="E1105" s="67" t="s">
        <v>309</v>
      </c>
      <c r="F1105" s="446">
        <v>1</v>
      </c>
      <c r="G1105" s="446"/>
      <c r="H1105" s="402">
        <f t="shared" si="65"/>
        <v>1</v>
      </c>
    </row>
    <row r="1106" spans="2:8" s="65" customFormat="1" ht="20.100000000000001" customHeight="1" x14ac:dyDescent="0.25">
      <c r="B1106" s="473"/>
      <c r="C1106" s="474"/>
      <c r="D1106" s="83" t="s">
        <v>316</v>
      </c>
      <c r="E1106" s="67" t="s">
        <v>309</v>
      </c>
      <c r="F1106" s="446">
        <v>2</v>
      </c>
      <c r="G1106" s="446"/>
      <c r="H1106" s="402">
        <f t="shared" si="65"/>
        <v>2</v>
      </c>
    </row>
    <row r="1107" spans="2:8" s="65" customFormat="1" ht="20.100000000000001" customHeight="1" x14ac:dyDescent="0.25">
      <c r="B1107" s="467"/>
      <c r="C1107" s="468"/>
      <c r="D1107" s="83" t="s">
        <v>189</v>
      </c>
      <c r="E1107" s="67" t="s">
        <v>309</v>
      </c>
      <c r="F1107" s="446">
        <v>1</v>
      </c>
      <c r="G1107" s="446"/>
      <c r="H1107" s="402">
        <f t="shared" si="65"/>
        <v>1</v>
      </c>
    </row>
    <row r="1108" spans="2:8" s="65" customFormat="1" ht="20.100000000000001" customHeight="1" x14ac:dyDescent="0.25">
      <c r="B1108" s="465"/>
      <c r="C1108" s="466"/>
      <c r="D1108" s="83" t="s">
        <v>137</v>
      </c>
      <c r="E1108" s="67" t="s">
        <v>309</v>
      </c>
      <c r="F1108" s="446">
        <v>1</v>
      </c>
      <c r="G1108" s="446"/>
      <c r="H1108" s="402">
        <f t="shared" si="65"/>
        <v>1</v>
      </c>
    </row>
    <row r="1109" spans="2:8" s="65" customFormat="1" ht="20.100000000000001" customHeight="1" x14ac:dyDescent="0.25">
      <c r="B1109" s="473"/>
      <c r="C1109" s="474"/>
      <c r="D1109" s="83" t="s">
        <v>297</v>
      </c>
      <c r="E1109" s="67" t="s">
        <v>309</v>
      </c>
      <c r="F1109" s="446">
        <v>1</v>
      </c>
      <c r="G1109" s="446"/>
      <c r="H1109" s="402">
        <f t="shared" si="65"/>
        <v>1</v>
      </c>
    </row>
    <row r="1110" spans="2:8" s="65" customFormat="1" ht="20.100000000000001" customHeight="1" x14ac:dyDescent="0.25">
      <c r="B1110" s="473"/>
      <c r="C1110" s="474"/>
      <c r="D1110" s="83" t="s">
        <v>186</v>
      </c>
      <c r="E1110" s="67" t="s">
        <v>309</v>
      </c>
      <c r="F1110" s="446">
        <v>2</v>
      </c>
      <c r="G1110" s="446"/>
      <c r="H1110" s="402">
        <f t="shared" si="65"/>
        <v>2</v>
      </c>
    </row>
    <row r="1111" spans="2:8" s="65" customFormat="1" ht="20.100000000000001" customHeight="1" x14ac:dyDescent="0.25">
      <c r="B1111" s="473"/>
      <c r="C1111" s="474"/>
      <c r="D1111" s="83" t="s">
        <v>205</v>
      </c>
      <c r="E1111" s="67" t="s">
        <v>309</v>
      </c>
      <c r="F1111" s="446">
        <v>1</v>
      </c>
      <c r="G1111" s="446"/>
      <c r="H1111" s="402">
        <f t="shared" si="65"/>
        <v>1</v>
      </c>
    </row>
    <row r="1112" spans="2:8" s="65" customFormat="1" ht="15" x14ac:dyDescent="0.25">
      <c r="B1112" s="473"/>
      <c r="C1112" s="474"/>
      <c r="D1112" s="83" t="s">
        <v>121</v>
      </c>
      <c r="E1112" s="67" t="s">
        <v>309</v>
      </c>
      <c r="F1112" s="446">
        <v>1</v>
      </c>
      <c r="G1112" s="446"/>
      <c r="H1112" s="402">
        <f t="shared" si="65"/>
        <v>1</v>
      </c>
    </row>
    <row r="1113" spans="2:8" s="65" customFormat="1" ht="20.100000000000001" customHeight="1" x14ac:dyDescent="0.25">
      <c r="B1113" s="467"/>
      <c r="C1113" s="468"/>
      <c r="D1113" s="83" t="s">
        <v>141</v>
      </c>
      <c r="E1113" s="67" t="s">
        <v>309</v>
      </c>
      <c r="F1113" s="446">
        <v>1</v>
      </c>
      <c r="G1113" s="446"/>
      <c r="H1113" s="402">
        <f t="shared" si="65"/>
        <v>1</v>
      </c>
    </row>
    <row r="1114" spans="2:8" s="65" customFormat="1" ht="20.100000000000001" customHeight="1" x14ac:dyDescent="0.25">
      <c r="B1114" s="457" t="s">
        <v>974</v>
      </c>
      <c r="C1114" s="458"/>
      <c r="D1114" s="459"/>
      <c r="E1114" s="459"/>
      <c r="F1114" s="459"/>
      <c r="G1114" s="459"/>
      <c r="H1114" s="460"/>
    </row>
    <row r="1115" spans="2:8" s="65" customFormat="1" ht="20.100000000000001" customHeight="1" x14ac:dyDescent="0.25">
      <c r="B1115" s="377">
        <v>14</v>
      </c>
      <c r="C1115" s="233">
        <v>180000</v>
      </c>
      <c r="D1115" s="458" t="s">
        <v>981</v>
      </c>
      <c r="E1115" s="458"/>
      <c r="F1115" s="458"/>
      <c r="G1115" s="458"/>
      <c r="H1115" s="395" t="s">
        <v>755</v>
      </c>
    </row>
    <row r="1116" spans="2:8" s="65" customFormat="1" ht="31.5" x14ac:dyDescent="0.25">
      <c r="B1116" s="386" t="s">
        <v>23</v>
      </c>
      <c r="C1116" s="162" t="s">
        <v>1004</v>
      </c>
      <c r="D1116" s="80" t="s">
        <v>1005</v>
      </c>
      <c r="E1116" s="162" t="s">
        <v>24</v>
      </c>
      <c r="F1116" s="330" t="s">
        <v>26</v>
      </c>
      <c r="G1116" s="330" t="s">
        <v>31</v>
      </c>
      <c r="H1116" s="387">
        <f>SUM(H1117,H1119,H1122,H1124,H1126,H1129,H1131,H1133,H1135,H1137,H1140,H1142,H1145)</f>
        <v>119.91499999999999</v>
      </c>
    </row>
    <row r="1117" spans="2:8" s="65" customFormat="1" ht="20.100000000000001" customHeight="1" x14ac:dyDescent="0.25">
      <c r="B1117" s="465"/>
      <c r="C1117" s="466"/>
      <c r="D1117" s="169" t="s">
        <v>128</v>
      </c>
      <c r="E1117" s="170" t="s">
        <v>24</v>
      </c>
      <c r="F1117" s="272" t="s">
        <v>26</v>
      </c>
      <c r="G1117" s="272" t="s">
        <v>31</v>
      </c>
      <c r="H1117" s="399">
        <f>H1118</f>
        <v>10.08</v>
      </c>
    </row>
    <row r="1118" spans="2:8" s="65" customFormat="1" ht="20.100000000000001" customHeight="1" x14ac:dyDescent="0.25">
      <c r="B1118" s="473"/>
      <c r="C1118" s="474"/>
      <c r="D1118" s="83" t="s">
        <v>1006</v>
      </c>
      <c r="E1118" s="67" t="s">
        <v>24</v>
      </c>
      <c r="F1118" s="331">
        <v>1.8</v>
      </c>
      <c r="G1118" s="331">
        <v>1.4</v>
      </c>
      <c r="H1118" s="402">
        <f>F1118*G1118*4</f>
        <v>10.08</v>
      </c>
    </row>
    <row r="1119" spans="2:8" s="65" customFormat="1" ht="20.100000000000001" customHeight="1" x14ac:dyDescent="0.25">
      <c r="B1119" s="473"/>
      <c r="C1119" s="474"/>
      <c r="D1119" s="169" t="s">
        <v>1007</v>
      </c>
      <c r="E1119" s="170" t="s">
        <v>24</v>
      </c>
      <c r="F1119" s="272" t="s">
        <v>26</v>
      </c>
      <c r="G1119" s="272" t="s">
        <v>31</v>
      </c>
      <c r="H1119" s="399">
        <f>SUM(H1120:H1121)</f>
        <v>3.9449999999999998</v>
      </c>
    </row>
    <row r="1120" spans="2:8" s="65" customFormat="1" ht="20.100000000000001" customHeight="1" x14ac:dyDescent="0.25">
      <c r="B1120" s="473"/>
      <c r="C1120" s="474"/>
      <c r="D1120" s="83" t="s">
        <v>1008</v>
      </c>
      <c r="E1120" s="67" t="s">
        <v>24</v>
      </c>
      <c r="F1120" s="331">
        <v>1.8</v>
      </c>
      <c r="G1120" s="331">
        <v>1.4</v>
      </c>
      <c r="H1120" s="402">
        <f>F1120*G1120</f>
        <v>2.52</v>
      </c>
    </row>
    <row r="1121" spans="2:8" s="65" customFormat="1" ht="20.100000000000001" customHeight="1" x14ac:dyDescent="0.25">
      <c r="B1121" s="473"/>
      <c r="C1121" s="474"/>
      <c r="D1121" s="83" t="s">
        <v>1009</v>
      </c>
      <c r="E1121" s="67" t="s">
        <v>24</v>
      </c>
      <c r="F1121" s="331">
        <v>1.9</v>
      </c>
      <c r="G1121" s="331">
        <v>0.75</v>
      </c>
      <c r="H1121" s="402">
        <f>F1121*G1121</f>
        <v>1.4249999999999998</v>
      </c>
    </row>
    <row r="1122" spans="2:8" s="65" customFormat="1" ht="20.100000000000001" customHeight="1" x14ac:dyDescent="0.25">
      <c r="B1122" s="473"/>
      <c r="C1122" s="474"/>
      <c r="D1122" s="169" t="s">
        <v>129</v>
      </c>
      <c r="E1122" s="170" t="s">
        <v>24</v>
      </c>
      <c r="F1122" s="272" t="s">
        <v>26</v>
      </c>
      <c r="G1122" s="272" t="s">
        <v>31</v>
      </c>
      <c r="H1122" s="399">
        <f>H1123</f>
        <v>10.08</v>
      </c>
    </row>
    <row r="1123" spans="2:8" s="65" customFormat="1" ht="20.100000000000001" customHeight="1" x14ac:dyDescent="0.25">
      <c r="B1123" s="473"/>
      <c r="C1123" s="474"/>
      <c r="D1123" s="83" t="s">
        <v>1006</v>
      </c>
      <c r="E1123" s="67" t="s">
        <v>24</v>
      </c>
      <c r="F1123" s="331">
        <v>1.8</v>
      </c>
      <c r="G1123" s="331">
        <v>1.4</v>
      </c>
      <c r="H1123" s="402">
        <f>F1123*G1123*4</f>
        <v>10.08</v>
      </c>
    </row>
    <row r="1124" spans="2:8" s="65" customFormat="1" ht="20.100000000000001" customHeight="1" x14ac:dyDescent="0.25">
      <c r="B1124" s="473"/>
      <c r="C1124" s="474"/>
      <c r="D1124" s="169" t="s">
        <v>120</v>
      </c>
      <c r="E1124" s="170" t="s">
        <v>24</v>
      </c>
      <c r="F1124" s="272" t="s">
        <v>26</v>
      </c>
      <c r="G1124" s="272" t="s">
        <v>31</v>
      </c>
      <c r="H1124" s="399">
        <f>H1125</f>
        <v>10.08</v>
      </c>
    </row>
    <row r="1125" spans="2:8" s="65" customFormat="1" ht="20.100000000000001" customHeight="1" x14ac:dyDescent="0.25">
      <c r="B1125" s="473"/>
      <c r="C1125" s="474"/>
      <c r="D1125" s="83" t="s">
        <v>1006</v>
      </c>
      <c r="E1125" s="67" t="s">
        <v>24</v>
      </c>
      <c r="F1125" s="331">
        <v>1.8</v>
      </c>
      <c r="G1125" s="331">
        <v>1.4</v>
      </c>
      <c r="H1125" s="402">
        <f>F1125*G1125*4</f>
        <v>10.08</v>
      </c>
    </row>
    <row r="1126" spans="2:8" s="65" customFormat="1" ht="20.100000000000001" customHeight="1" x14ac:dyDescent="0.25">
      <c r="B1126" s="473"/>
      <c r="C1126" s="474"/>
      <c r="D1126" s="169" t="s">
        <v>785</v>
      </c>
      <c r="E1126" s="170" t="s">
        <v>24</v>
      </c>
      <c r="F1126" s="272" t="s">
        <v>26</v>
      </c>
      <c r="G1126" s="272" t="s">
        <v>31</v>
      </c>
      <c r="H1126" s="399">
        <f>SUM(H1127:H1128)</f>
        <v>3.9449999999999998</v>
      </c>
    </row>
    <row r="1127" spans="2:8" s="65" customFormat="1" ht="20.100000000000001" customHeight="1" x14ac:dyDescent="0.25">
      <c r="B1127" s="473"/>
      <c r="C1127" s="474"/>
      <c r="D1127" s="83" t="s">
        <v>1008</v>
      </c>
      <c r="E1127" s="67" t="s">
        <v>24</v>
      </c>
      <c r="F1127" s="331">
        <v>1.8</v>
      </c>
      <c r="G1127" s="331">
        <v>1.4</v>
      </c>
      <c r="H1127" s="402">
        <f>F1127*G1127</f>
        <v>2.52</v>
      </c>
    </row>
    <row r="1128" spans="2:8" s="65" customFormat="1" ht="20.100000000000001" customHeight="1" x14ac:dyDescent="0.25">
      <c r="B1128" s="473"/>
      <c r="C1128" s="474"/>
      <c r="D1128" s="83" t="s">
        <v>1009</v>
      </c>
      <c r="E1128" s="67" t="s">
        <v>24</v>
      </c>
      <c r="F1128" s="331">
        <v>1.9</v>
      </c>
      <c r="G1128" s="331">
        <v>0.75</v>
      </c>
      <c r="H1128" s="402">
        <f>F1128*G1128</f>
        <v>1.4249999999999998</v>
      </c>
    </row>
    <row r="1129" spans="2:8" s="65" customFormat="1" ht="20.100000000000001" customHeight="1" x14ac:dyDescent="0.25">
      <c r="B1129" s="473"/>
      <c r="C1129" s="474"/>
      <c r="D1129" s="169" t="s">
        <v>189</v>
      </c>
      <c r="E1129" s="170" t="s">
        <v>24</v>
      </c>
      <c r="F1129" s="272" t="s">
        <v>26</v>
      </c>
      <c r="G1129" s="272" t="s">
        <v>31</v>
      </c>
      <c r="H1129" s="399">
        <f>H1130</f>
        <v>10.08</v>
      </c>
    </row>
    <row r="1130" spans="2:8" s="65" customFormat="1" ht="20.100000000000001" customHeight="1" x14ac:dyDescent="0.25">
      <c r="B1130" s="473"/>
      <c r="C1130" s="474"/>
      <c r="D1130" s="83" t="s">
        <v>1006</v>
      </c>
      <c r="E1130" s="67" t="s">
        <v>24</v>
      </c>
      <c r="F1130" s="331">
        <v>1.8</v>
      </c>
      <c r="G1130" s="331">
        <v>1.4</v>
      </c>
      <c r="H1130" s="402">
        <f>F1130*G1130*4</f>
        <v>10.08</v>
      </c>
    </row>
    <row r="1131" spans="2:8" s="65" customFormat="1" ht="20.100000000000001" customHeight="1" x14ac:dyDescent="0.25">
      <c r="B1131" s="473"/>
      <c r="C1131" s="474"/>
      <c r="D1131" s="169" t="s">
        <v>137</v>
      </c>
      <c r="E1131" s="170" t="s">
        <v>24</v>
      </c>
      <c r="F1131" s="272" t="s">
        <v>26</v>
      </c>
      <c r="G1131" s="272" t="s">
        <v>31</v>
      </c>
      <c r="H1131" s="399">
        <f>H1132</f>
        <v>5.04</v>
      </c>
    </row>
    <row r="1132" spans="2:8" s="65" customFormat="1" ht="20.100000000000001" customHeight="1" x14ac:dyDescent="0.25">
      <c r="B1132" s="473"/>
      <c r="C1132" s="474"/>
      <c r="D1132" s="83" t="s">
        <v>1010</v>
      </c>
      <c r="E1132" s="67" t="s">
        <v>24</v>
      </c>
      <c r="F1132" s="331">
        <v>1.8</v>
      </c>
      <c r="G1132" s="331">
        <v>1.4</v>
      </c>
      <c r="H1132" s="402">
        <f>F1132*G1132*2</f>
        <v>5.04</v>
      </c>
    </row>
    <row r="1133" spans="2:8" s="65" customFormat="1" ht="20.100000000000001" customHeight="1" x14ac:dyDescent="0.25">
      <c r="B1133" s="473"/>
      <c r="C1133" s="474"/>
      <c r="D1133" s="169" t="s">
        <v>190</v>
      </c>
      <c r="E1133" s="170" t="s">
        <v>24</v>
      </c>
      <c r="F1133" s="272" t="s">
        <v>26</v>
      </c>
      <c r="G1133" s="272" t="s">
        <v>31</v>
      </c>
      <c r="H1133" s="399">
        <f>H1134</f>
        <v>14</v>
      </c>
    </row>
    <row r="1134" spans="2:8" s="65" customFormat="1" ht="20.100000000000001" customHeight="1" x14ac:dyDescent="0.25">
      <c r="B1134" s="473"/>
      <c r="C1134" s="474"/>
      <c r="D1134" s="83" t="s">
        <v>1011</v>
      </c>
      <c r="E1134" s="67" t="s">
        <v>24</v>
      </c>
      <c r="F1134" s="331">
        <v>2.5</v>
      </c>
      <c r="G1134" s="331">
        <v>1.4</v>
      </c>
      <c r="H1134" s="402">
        <f>F1134*G1134*4</f>
        <v>14</v>
      </c>
    </row>
    <row r="1135" spans="2:8" s="65" customFormat="1" ht="20.100000000000001" customHeight="1" x14ac:dyDescent="0.25">
      <c r="B1135" s="473"/>
      <c r="C1135" s="474"/>
      <c r="D1135" s="169" t="s">
        <v>133</v>
      </c>
      <c r="E1135" s="170" t="s">
        <v>24</v>
      </c>
      <c r="F1135" s="272" t="s">
        <v>26</v>
      </c>
      <c r="G1135" s="272" t="s">
        <v>31</v>
      </c>
      <c r="H1135" s="399">
        <f>H1136</f>
        <v>21</v>
      </c>
    </row>
    <row r="1136" spans="2:8" s="65" customFormat="1" ht="20.100000000000001" customHeight="1" x14ac:dyDescent="0.25">
      <c r="B1136" s="473"/>
      <c r="C1136" s="474"/>
      <c r="D1136" s="83" t="s">
        <v>1012</v>
      </c>
      <c r="E1136" s="67" t="s">
        <v>24</v>
      </c>
      <c r="F1136" s="331">
        <v>2.5</v>
      </c>
      <c r="G1136" s="331">
        <v>1.4</v>
      </c>
      <c r="H1136" s="402">
        <f>F1136*G1136*6</f>
        <v>21</v>
      </c>
    </row>
    <row r="1137" spans="2:8" s="65" customFormat="1" ht="20.100000000000001" customHeight="1" x14ac:dyDescent="0.25">
      <c r="B1137" s="473"/>
      <c r="C1137" s="474"/>
      <c r="D1137" s="169" t="s">
        <v>205</v>
      </c>
      <c r="E1137" s="170" t="s">
        <v>24</v>
      </c>
      <c r="F1137" s="272" t="s">
        <v>26</v>
      </c>
      <c r="G1137" s="272" t="s">
        <v>31</v>
      </c>
      <c r="H1137" s="399">
        <f>SUM(H1138:H1139)</f>
        <v>9.24</v>
      </c>
    </row>
    <row r="1138" spans="2:8" s="65" customFormat="1" ht="20.100000000000001" customHeight="1" x14ac:dyDescent="0.25">
      <c r="B1138" s="473"/>
      <c r="C1138" s="474"/>
      <c r="D1138" s="83" t="s">
        <v>1013</v>
      </c>
      <c r="E1138" s="67" t="s">
        <v>24</v>
      </c>
      <c r="F1138" s="331">
        <v>2.4</v>
      </c>
      <c r="G1138" s="331">
        <v>1.4</v>
      </c>
      <c r="H1138" s="402">
        <f>F1138*G1138*2</f>
        <v>6.72</v>
      </c>
    </row>
    <row r="1139" spans="2:8" s="65" customFormat="1" ht="20.100000000000001" customHeight="1" x14ac:dyDescent="0.25">
      <c r="B1139" s="473"/>
      <c r="C1139" s="474"/>
      <c r="D1139" s="83" t="s">
        <v>1008</v>
      </c>
      <c r="E1139" s="67" t="s">
        <v>24</v>
      </c>
      <c r="F1139" s="331">
        <v>1.8</v>
      </c>
      <c r="G1139" s="331">
        <v>1.4</v>
      </c>
      <c r="H1139" s="402">
        <f>F1139*G1139</f>
        <v>2.52</v>
      </c>
    </row>
    <row r="1140" spans="2:8" s="65" customFormat="1" ht="20.100000000000001" customHeight="1" x14ac:dyDescent="0.25">
      <c r="B1140" s="473"/>
      <c r="C1140" s="474"/>
      <c r="D1140" s="169" t="s">
        <v>312</v>
      </c>
      <c r="E1140" s="170" t="s">
        <v>24</v>
      </c>
      <c r="F1140" s="272" t="s">
        <v>26</v>
      </c>
      <c r="G1140" s="272" t="s">
        <v>31</v>
      </c>
      <c r="H1140" s="399">
        <f>H1141</f>
        <v>3.6399999999999997</v>
      </c>
    </row>
    <row r="1141" spans="2:8" s="65" customFormat="1" ht="20.100000000000001" customHeight="1" x14ac:dyDescent="0.25">
      <c r="B1141" s="473"/>
      <c r="C1141" s="474"/>
      <c r="D1141" s="83" t="s">
        <v>1177</v>
      </c>
      <c r="E1141" s="67" t="s">
        <v>24</v>
      </c>
      <c r="F1141" s="331">
        <v>1.3</v>
      </c>
      <c r="G1141" s="331">
        <v>1.4</v>
      </c>
      <c r="H1141" s="402">
        <f>F1141*G1141*2</f>
        <v>3.6399999999999997</v>
      </c>
    </row>
    <row r="1142" spans="2:8" s="65" customFormat="1" ht="20.100000000000001" customHeight="1" x14ac:dyDescent="0.25">
      <c r="B1142" s="473"/>
      <c r="C1142" s="474"/>
      <c r="D1142" s="169" t="s">
        <v>149</v>
      </c>
      <c r="E1142" s="170" t="s">
        <v>24</v>
      </c>
      <c r="F1142" s="272" t="s">
        <v>26</v>
      </c>
      <c r="G1142" s="272" t="s">
        <v>31</v>
      </c>
      <c r="H1142" s="399">
        <f>SUM(H1143:H1144)</f>
        <v>4.7850000000000001</v>
      </c>
    </row>
    <row r="1143" spans="2:8" s="65" customFormat="1" ht="20.100000000000001" customHeight="1" x14ac:dyDescent="0.25">
      <c r="B1143" s="473"/>
      <c r="C1143" s="474"/>
      <c r="D1143" s="83" t="s">
        <v>1014</v>
      </c>
      <c r="E1143" s="67" t="s">
        <v>24</v>
      </c>
      <c r="F1143" s="331">
        <v>2.4</v>
      </c>
      <c r="G1143" s="331">
        <v>1.4</v>
      </c>
      <c r="H1143" s="402">
        <f>F1143*G1143</f>
        <v>3.36</v>
      </c>
    </row>
    <row r="1144" spans="2:8" s="65" customFormat="1" ht="20.100000000000001" customHeight="1" x14ac:dyDescent="0.25">
      <c r="B1144" s="473"/>
      <c r="C1144" s="474"/>
      <c r="D1144" s="83" t="s">
        <v>1009</v>
      </c>
      <c r="E1144" s="67" t="s">
        <v>24</v>
      </c>
      <c r="F1144" s="331">
        <v>1.9</v>
      </c>
      <c r="G1144" s="331">
        <v>0.75</v>
      </c>
      <c r="H1144" s="402">
        <f>F1144*G1144</f>
        <v>1.4249999999999998</v>
      </c>
    </row>
    <row r="1145" spans="2:8" s="65" customFormat="1" ht="20.100000000000001" customHeight="1" x14ac:dyDescent="0.25">
      <c r="B1145" s="473"/>
      <c r="C1145" s="474"/>
      <c r="D1145" s="169" t="s">
        <v>142</v>
      </c>
      <c r="E1145" s="170" t="s">
        <v>24</v>
      </c>
      <c r="F1145" s="272" t="s">
        <v>26</v>
      </c>
      <c r="G1145" s="272" t="s">
        <v>31</v>
      </c>
      <c r="H1145" s="399">
        <f>H1146</f>
        <v>14</v>
      </c>
    </row>
    <row r="1146" spans="2:8" s="65" customFormat="1" ht="20.100000000000001" customHeight="1" x14ac:dyDescent="0.25">
      <c r="B1146" s="467"/>
      <c r="C1146" s="468"/>
      <c r="D1146" s="83" t="s">
        <v>1011</v>
      </c>
      <c r="E1146" s="67" t="s">
        <v>24</v>
      </c>
      <c r="F1146" s="331">
        <v>2.5</v>
      </c>
      <c r="G1146" s="331">
        <v>1.4</v>
      </c>
      <c r="H1146" s="402">
        <f>F1146*G1146*4</f>
        <v>14</v>
      </c>
    </row>
    <row r="1147" spans="2:8" s="65" customFormat="1" ht="15.75" x14ac:dyDescent="0.25">
      <c r="B1147" s="386" t="s">
        <v>1017</v>
      </c>
      <c r="C1147" s="162">
        <v>180307</v>
      </c>
      <c r="D1147" s="153" t="s">
        <v>1018</v>
      </c>
      <c r="E1147" s="162" t="s">
        <v>24</v>
      </c>
      <c r="F1147" s="330" t="s">
        <v>26</v>
      </c>
      <c r="G1147" s="330" t="s">
        <v>31</v>
      </c>
      <c r="H1147" s="387">
        <f>H1148</f>
        <v>12.16</v>
      </c>
    </row>
    <row r="1148" spans="2:8" s="65" customFormat="1" ht="20.100000000000001" customHeight="1" x14ac:dyDescent="0.25">
      <c r="B1148" s="396"/>
      <c r="C1148" s="322"/>
      <c r="D1148" s="83" t="s">
        <v>1019</v>
      </c>
      <c r="E1148" s="67" t="s">
        <v>24</v>
      </c>
      <c r="F1148" s="331">
        <v>3.8</v>
      </c>
      <c r="G1148" s="331">
        <v>3.2</v>
      </c>
      <c r="H1148" s="402">
        <f>G1148*F1148</f>
        <v>12.16</v>
      </c>
    </row>
    <row r="1149" spans="2:8" s="65" customFormat="1" ht="15.75" x14ac:dyDescent="0.25">
      <c r="B1149" s="386" t="s">
        <v>1023</v>
      </c>
      <c r="C1149" s="162">
        <v>180304</v>
      </c>
      <c r="D1149" s="153" t="s">
        <v>1021</v>
      </c>
      <c r="E1149" s="162" t="s">
        <v>24</v>
      </c>
      <c r="F1149" s="330" t="s">
        <v>26</v>
      </c>
      <c r="G1149" s="330" t="s">
        <v>31</v>
      </c>
      <c r="H1149" s="387">
        <f>H1150</f>
        <v>3.75</v>
      </c>
    </row>
    <row r="1150" spans="2:8" s="65" customFormat="1" ht="20.100000000000001" customHeight="1" x14ac:dyDescent="0.25">
      <c r="B1150" s="404"/>
      <c r="C1150" s="323"/>
      <c r="D1150" s="83" t="s">
        <v>1020</v>
      </c>
      <c r="E1150" s="67" t="s">
        <v>24</v>
      </c>
      <c r="F1150" s="331">
        <v>1.5</v>
      </c>
      <c r="G1150" s="331">
        <v>2.5</v>
      </c>
      <c r="H1150" s="402">
        <f>G1150*F1150</f>
        <v>3.75</v>
      </c>
    </row>
    <row r="1151" spans="2:8" s="65" customFormat="1" ht="15.75" x14ac:dyDescent="0.25">
      <c r="B1151" s="386" t="s">
        <v>1024</v>
      </c>
      <c r="C1151" s="162">
        <v>180305</v>
      </c>
      <c r="D1151" s="153" t="s">
        <v>1022</v>
      </c>
      <c r="E1151" s="162" t="s">
        <v>24</v>
      </c>
      <c r="F1151" s="330" t="s">
        <v>26</v>
      </c>
      <c r="G1151" s="330" t="s">
        <v>31</v>
      </c>
      <c r="H1151" s="387">
        <f>SUM(H1152:H1154)</f>
        <v>7.7399999999999984</v>
      </c>
    </row>
    <row r="1152" spans="2:8" s="65" customFormat="1" ht="20.100000000000001" customHeight="1" x14ac:dyDescent="0.25">
      <c r="B1152" s="465"/>
      <c r="C1152" s="466"/>
      <c r="D1152" s="83" t="s">
        <v>1025</v>
      </c>
      <c r="E1152" s="67" t="s">
        <v>24</v>
      </c>
      <c r="F1152" s="331">
        <v>1.2</v>
      </c>
      <c r="G1152" s="331">
        <v>2.15</v>
      </c>
      <c r="H1152" s="402">
        <f>G1152*F1152</f>
        <v>2.5799999999999996</v>
      </c>
    </row>
    <row r="1153" spans="2:8" s="65" customFormat="1" ht="20.100000000000001" customHeight="1" x14ac:dyDescent="0.25">
      <c r="B1153" s="473"/>
      <c r="C1153" s="474"/>
      <c r="D1153" s="83" t="s">
        <v>757</v>
      </c>
      <c r="E1153" s="67" t="s">
        <v>24</v>
      </c>
      <c r="F1153" s="331">
        <v>1.2</v>
      </c>
      <c r="G1153" s="331">
        <v>2.15</v>
      </c>
      <c r="H1153" s="402">
        <f>G1153*F1153</f>
        <v>2.5799999999999996</v>
      </c>
    </row>
    <row r="1154" spans="2:8" s="65" customFormat="1" ht="20.100000000000001" customHeight="1" x14ac:dyDescent="0.25">
      <c r="B1154" s="467"/>
      <c r="C1154" s="468"/>
      <c r="D1154" s="83" t="s">
        <v>1154</v>
      </c>
      <c r="E1154" s="67" t="s">
        <v>24</v>
      </c>
      <c r="F1154" s="331">
        <v>1.2</v>
      </c>
      <c r="G1154" s="331">
        <v>2.15</v>
      </c>
      <c r="H1154" s="402">
        <f>G1154*F1154</f>
        <v>2.5799999999999996</v>
      </c>
    </row>
    <row r="1155" spans="2:8" s="65" customFormat="1" ht="15.75" x14ac:dyDescent="0.25">
      <c r="B1155" s="386" t="s">
        <v>1055</v>
      </c>
      <c r="C1155" s="162">
        <v>180315</v>
      </c>
      <c r="D1155" s="153" t="s">
        <v>1056</v>
      </c>
      <c r="E1155" s="162" t="s">
        <v>24</v>
      </c>
      <c r="F1155" s="330" t="s">
        <v>26</v>
      </c>
      <c r="G1155" s="330" t="s">
        <v>31</v>
      </c>
      <c r="H1155" s="387">
        <f>SUM(H1156:H1157)</f>
        <v>19.649999999999999</v>
      </c>
    </row>
    <row r="1156" spans="2:8" s="65" customFormat="1" ht="20.100000000000001" customHeight="1" x14ac:dyDescent="0.25">
      <c r="B1156" s="465"/>
      <c r="C1156" s="466"/>
      <c r="D1156" s="83" t="s">
        <v>1057</v>
      </c>
      <c r="E1156" s="67" t="s">
        <v>24</v>
      </c>
      <c r="F1156" s="331">
        <v>10</v>
      </c>
      <c r="G1156" s="331">
        <v>1</v>
      </c>
      <c r="H1156" s="402">
        <f>G1156*F1156</f>
        <v>10</v>
      </c>
    </row>
    <row r="1157" spans="2:8" s="65" customFormat="1" ht="20.100000000000001" customHeight="1" x14ac:dyDescent="0.25">
      <c r="B1157" s="467"/>
      <c r="C1157" s="468"/>
      <c r="D1157" s="83" t="s">
        <v>1058</v>
      </c>
      <c r="E1157" s="67" t="s">
        <v>24</v>
      </c>
      <c r="F1157" s="331">
        <v>9.65</v>
      </c>
      <c r="G1157" s="331">
        <v>1</v>
      </c>
      <c r="H1157" s="402">
        <f>G1157*F1157</f>
        <v>9.65</v>
      </c>
    </row>
    <row r="1158" spans="2:8" s="65" customFormat="1" ht="15.75" x14ac:dyDescent="0.25">
      <c r="B1158" s="386" t="s">
        <v>1188</v>
      </c>
      <c r="C1158" s="162">
        <v>180311</v>
      </c>
      <c r="D1158" s="153" t="s">
        <v>1286</v>
      </c>
      <c r="E1158" s="162" t="s">
        <v>24</v>
      </c>
      <c r="F1158" s="330" t="s">
        <v>26</v>
      </c>
      <c r="G1158" s="330" t="s">
        <v>31</v>
      </c>
      <c r="H1158" s="387">
        <f>SUM(H1159:H1176)</f>
        <v>188.08</v>
      </c>
    </row>
    <row r="1159" spans="2:8" s="65" customFormat="1" ht="20.100000000000001" customHeight="1" x14ac:dyDescent="0.25">
      <c r="B1159" s="465"/>
      <c r="C1159" s="466"/>
      <c r="D1159" s="83" t="s">
        <v>1156</v>
      </c>
      <c r="E1159" s="67" t="s">
        <v>24</v>
      </c>
      <c r="F1159" s="331">
        <v>2</v>
      </c>
      <c r="G1159" s="331">
        <v>1.6</v>
      </c>
      <c r="H1159" s="402">
        <f>4*G1159*F1159</f>
        <v>12.8</v>
      </c>
    </row>
    <row r="1160" spans="2:8" s="65" customFormat="1" ht="20.100000000000001" customHeight="1" x14ac:dyDescent="0.25">
      <c r="B1160" s="473"/>
      <c r="C1160" s="474"/>
      <c r="D1160" s="83" t="s">
        <v>1165</v>
      </c>
      <c r="E1160" s="67" t="s">
        <v>24</v>
      </c>
      <c r="F1160" s="331">
        <v>2</v>
      </c>
      <c r="G1160" s="331">
        <v>1.6</v>
      </c>
      <c r="H1160" s="402">
        <f t="shared" ref="H1160:H1165" si="66">4*G1160*F1160</f>
        <v>12.8</v>
      </c>
    </row>
    <row r="1161" spans="2:8" s="65" customFormat="1" ht="20.100000000000001" customHeight="1" x14ac:dyDescent="0.25">
      <c r="B1161" s="473"/>
      <c r="C1161" s="474"/>
      <c r="D1161" s="83" t="s">
        <v>1158</v>
      </c>
      <c r="E1161" s="67" t="s">
        <v>24</v>
      </c>
      <c r="F1161" s="331">
        <v>2</v>
      </c>
      <c r="G1161" s="331">
        <v>1.6</v>
      </c>
      <c r="H1161" s="402">
        <f t="shared" si="66"/>
        <v>12.8</v>
      </c>
    </row>
    <row r="1162" spans="2:8" s="65" customFormat="1" ht="20.100000000000001" customHeight="1" x14ac:dyDescent="0.25">
      <c r="B1162" s="473"/>
      <c r="C1162" s="474"/>
      <c r="D1162" s="83" t="s">
        <v>1157</v>
      </c>
      <c r="E1162" s="67" t="s">
        <v>24</v>
      </c>
      <c r="F1162" s="331">
        <v>2</v>
      </c>
      <c r="G1162" s="331">
        <v>1.6</v>
      </c>
      <c r="H1162" s="402">
        <f t="shared" si="66"/>
        <v>12.8</v>
      </c>
    </row>
    <row r="1163" spans="2:8" s="65" customFormat="1" ht="20.100000000000001" customHeight="1" x14ac:dyDescent="0.25">
      <c r="B1163" s="473"/>
      <c r="C1163" s="474"/>
      <c r="D1163" s="83" t="s">
        <v>1189</v>
      </c>
      <c r="E1163" s="67" t="s">
        <v>24</v>
      </c>
      <c r="F1163" s="331">
        <v>2</v>
      </c>
      <c r="G1163" s="331">
        <v>1</v>
      </c>
      <c r="H1163" s="402">
        <f t="shared" si="66"/>
        <v>8</v>
      </c>
    </row>
    <row r="1164" spans="2:8" s="65" customFormat="1" ht="20.100000000000001" customHeight="1" x14ac:dyDescent="0.25">
      <c r="B1164" s="473"/>
      <c r="C1164" s="474"/>
      <c r="D1164" s="83" t="s">
        <v>1192</v>
      </c>
      <c r="E1164" s="67" t="s">
        <v>24</v>
      </c>
      <c r="F1164" s="331">
        <v>2</v>
      </c>
      <c r="G1164" s="331">
        <v>1.6</v>
      </c>
      <c r="H1164" s="402">
        <f>G1164*F1164</f>
        <v>3.2</v>
      </c>
    </row>
    <row r="1165" spans="2:8" s="65" customFormat="1" ht="20.100000000000001" customHeight="1" x14ac:dyDescent="0.25">
      <c r="B1165" s="473"/>
      <c r="C1165" s="474"/>
      <c r="D1165" s="83" t="s">
        <v>1191</v>
      </c>
      <c r="E1165" s="67" t="s">
        <v>24</v>
      </c>
      <c r="F1165" s="331">
        <v>2</v>
      </c>
      <c r="G1165" s="331">
        <v>1</v>
      </c>
      <c r="H1165" s="402">
        <f t="shared" si="66"/>
        <v>8</v>
      </c>
    </row>
    <row r="1166" spans="2:8" s="65" customFormat="1" ht="20.100000000000001" customHeight="1" x14ac:dyDescent="0.25">
      <c r="B1166" s="473"/>
      <c r="C1166" s="474"/>
      <c r="D1166" s="83" t="s">
        <v>1190</v>
      </c>
      <c r="E1166" s="67" t="s">
        <v>24</v>
      </c>
      <c r="F1166" s="331">
        <v>2</v>
      </c>
      <c r="G1166" s="331">
        <v>1.6</v>
      </c>
      <c r="H1166" s="402">
        <f>G1166*F1166</f>
        <v>3.2</v>
      </c>
    </row>
    <row r="1167" spans="2:8" s="65" customFormat="1" ht="20.100000000000001" customHeight="1" x14ac:dyDescent="0.25">
      <c r="B1167" s="473"/>
      <c r="C1167" s="474"/>
      <c r="D1167" s="83" t="s">
        <v>1166</v>
      </c>
      <c r="E1167" s="67" t="s">
        <v>24</v>
      </c>
      <c r="F1167" s="331">
        <v>2</v>
      </c>
      <c r="G1167" s="331">
        <v>1.6</v>
      </c>
      <c r="H1167" s="402">
        <f>2*G1167*F1167</f>
        <v>6.4</v>
      </c>
    </row>
    <row r="1168" spans="2:8" s="65" customFormat="1" ht="20.100000000000001" customHeight="1" x14ac:dyDescent="0.25">
      <c r="B1168" s="473"/>
      <c r="C1168" s="474"/>
      <c r="D1168" s="83" t="s">
        <v>1193</v>
      </c>
      <c r="E1168" s="67" t="s">
        <v>24</v>
      </c>
      <c r="F1168" s="331">
        <v>2.7</v>
      </c>
      <c r="G1168" s="331">
        <v>1.6</v>
      </c>
      <c r="H1168" s="402">
        <f>4*G1168*F1168</f>
        <v>17.28</v>
      </c>
    </row>
    <row r="1169" spans="2:8" s="65" customFormat="1" ht="20.100000000000001" customHeight="1" x14ac:dyDescent="0.25">
      <c r="B1169" s="473"/>
      <c r="C1169" s="474"/>
      <c r="D1169" s="83" t="s">
        <v>1194</v>
      </c>
      <c r="E1169" s="67" t="s">
        <v>24</v>
      </c>
      <c r="F1169" s="331">
        <v>2.7</v>
      </c>
      <c r="G1169" s="331">
        <v>1.6</v>
      </c>
      <c r="H1169" s="402">
        <f>G1169*F1169*6</f>
        <v>25.92</v>
      </c>
    </row>
    <row r="1170" spans="2:8" s="65" customFormat="1" ht="20.100000000000001" customHeight="1" x14ac:dyDescent="0.25">
      <c r="B1170" s="473"/>
      <c r="C1170" s="474"/>
      <c r="D1170" s="83" t="s">
        <v>1169</v>
      </c>
      <c r="E1170" s="67" t="s">
        <v>24</v>
      </c>
      <c r="F1170" s="331">
        <v>2</v>
      </c>
      <c r="G1170" s="331">
        <v>1.6</v>
      </c>
      <c r="H1170" s="402">
        <f>G1170*F1170</f>
        <v>3.2</v>
      </c>
    </row>
    <row r="1171" spans="2:8" s="65" customFormat="1" ht="20.100000000000001" customHeight="1" x14ac:dyDescent="0.25">
      <c r="B1171" s="473"/>
      <c r="C1171" s="474"/>
      <c r="D1171" s="83" t="s">
        <v>1170</v>
      </c>
      <c r="E1171" s="67" t="s">
        <v>24</v>
      </c>
      <c r="F1171" s="331">
        <v>2.6</v>
      </c>
      <c r="G1171" s="331">
        <v>1.6</v>
      </c>
      <c r="H1171" s="402">
        <f>G1171*F1171*2</f>
        <v>8.32</v>
      </c>
    </row>
    <row r="1172" spans="2:8" s="65" customFormat="1" ht="20.100000000000001" customHeight="1" x14ac:dyDescent="0.25">
      <c r="B1172" s="473"/>
      <c r="C1172" s="474"/>
      <c r="D1172" s="83" t="s">
        <v>1171</v>
      </c>
      <c r="E1172" s="67" t="s">
        <v>24</v>
      </c>
      <c r="F1172" s="331">
        <v>1.5</v>
      </c>
      <c r="G1172" s="331">
        <v>1.6</v>
      </c>
      <c r="H1172" s="402">
        <f>G1172*F1172</f>
        <v>2.4000000000000004</v>
      </c>
    </row>
    <row r="1173" spans="2:8" s="65" customFormat="1" ht="20.100000000000001" customHeight="1" x14ac:dyDescent="0.25">
      <c r="B1173" s="473"/>
      <c r="C1173" s="474"/>
      <c r="D1173" s="83" t="s">
        <v>1174</v>
      </c>
      <c r="E1173" s="67" t="s">
        <v>24</v>
      </c>
      <c r="F1173" s="331">
        <v>2.6</v>
      </c>
      <c r="G1173" s="331">
        <v>1.6</v>
      </c>
      <c r="H1173" s="402">
        <f>G1173*F1173</f>
        <v>4.16</v>
      </c>
    </row>
    <row r="1174" spans="2:8" s="65" customFormat="1" ht="20.100000000000001" customHeight="1" x14ac:dyDescent="0.25">
      <c r="B1174" s="473"/>
      <c r="C1174" s="474"/>
      <c r="D1174" s="83" t="s">
        <v>1195</v>
      </c>
      <c r="E1174" s="67" t="s">
        <v>24</v>
      </c>
      <c r="F1174" s="331">
        <v>2.6</v>
      </c>
      <c r="G1174" s="331">
        <v>1.5</v>
      </c>
      <c r="H1174" s="402">
        <f t="shared" ref="H1174:H1176" si="67">4*G1174*F1174</f>
        <v>15.600000000000001</v>
      </c>
    </row>
    <row r="1175" spans="2:8" s="65" customFormat="1" ht="20.100000000000001" customHeight="1" x14ac:dyDescent="0.25">
      <c r="B1175" s="473"/>
      <c r="C1175" s="474"/>
      <c r="D1175" s="83" t="s">
        <v>1196</v>
      </c>
      <c r="E1175" s="67" t="s">
        <v>24</v>
      </c>
      <c r="F1175" s="331">
        <v>2.6</v>
      </c>
      <c r="G1175" s="331">
        <v>1.5</v>
      </c>
      <c r="H1175" s="402">
        <f t="shared" si="67"/>
        <v>15.600000000000001</v>
      </c>
    </row>
    <row r="1176" spans="2:8" s="65" customFormat="1" ht="20.100000000000001" customHeight="1" x14ac:dyDescent="0.25">
      <c r="B1176" s="467"/>
      <c r="C1176" s="468"/>
      <c r="D1176" s="83" t="s">
        <v>1176</v>
      </c>
      <c r="E1176" s="67" t="s">
        <v>24</v>
      </c>
      <c r="F1176" s="331">
        <v>2.6</v>
      </c>
      <c r="G1176" s="331">
        <v>1.5</v>
      </c>
      <c r="H1176" s="402">
        <f t="shared" si="67"/>
        <v>15.600000000000001</v>
      </c>
    </row>
    <row r="1177" spans="2:8" s="65" customFormat="1" ht="15.75" x14ac:dyDescent="0.25">
      <c r="B1177" s="386" t="s">
        <v>1222</v>
      </c>
      <c r="C1177" s="162">
        <v>180104</v>
      </c>
      <c r="D1177" s="153" t="s">
        <v>1221</v>
      </c>
      <c r="E1177" s="330" t="s">
        <v>24</v>
      </c>
      <c r="F1177" s="330" t="s">
        <v>26</v>
      </c>
      <c r="G1177" s="330" t="s">
        <v>31</v>
      </c>
      <c r="H1177" s="387">
        <f>SUM(H1178:H1181)</f>
        <v>7.04</v>
      </c>
    </row>
    <row r="1178" spans="2:8" s="65" customFormat="1" ht="20.100000000000001" customHeight="1" x14ac:dyDescent="0.25">
      <c r="B1178" s="465"/>
      <c r="C1178" s="466"/>
      <c r="D1178" s="83" t="s">
        <v>1223</v>
      </c>
      <c r="E1178" s="67" t="s">
        <v>24</v>
      </c>
      <c r="F1178" s="331">
        <v>1</v>
      </c>
      <c r="G1178" s="331">
        <v>1.6</v>
      </c>
      <c r="H1178" s="402">
        <f>G1178*F1178</f>
        <v>1.6</v>
      </c>
    </row>
    <row r="1179" spans="2:8" s="65" customFormat="1" ht="20.100000000000001" customHeight="1" x14ac:dyDescent="0.25">
      <c r="B1179" s="473"/>
      <c r="C1179" s="474"/>
      <c r="D1179" s="83" t="s">
        <v>1224</v>
      </c>
      <c r="E1179" s="67" t="s">
        <v>24</v>
      </c>
      <c r="F1179" s="331">
        <v>0.6</v>
      </c>
      <c r="G1179" s="331">
        <v>1.6</v>
      </c>
      <c r="H1179" s="402">
        <f>2*G1179*F1179</f>
        <v>1.92</v>
      </c>
    </row>
    <row r="1180" spans="2:8" s="65" customFormat="1" ht="20.100000000000001" customHeight="1" x14ac:dyDescent="0.25">
      <c r="B1180" s="473"/>
      <c r="C1180" s="474"/>
      <c r="D1180" s="83" t="s">
        <v>1225</v>
      </c>
      <c r="E1180" s="67" t="s">
        <v>24</v>
      </c>
      <c r="F1180" s="331">
        <v>1</v>
      </c>
      <c r="G1180" s="331">
        <v>1.6</v>
      </c>
      <c r="H1180" s="402">
        <f>G1180*F1180</f>
        <v>1.6</v>
      </c>
    </row>
    <row r="1181" spans="2:8" s="65" customFormat="1" ht="20.100000000000001" customHeight="1" x14ac:dyDescent="0.25">
      <c r="B1181" s="467"/>
      <c r="C1181" s="468"/>
      <c r="D1181" s="83" t="s">
        <v>1226</v>
      </c>
      <c r="E1181" s="67" t="s">
        <v>24</v>
      </c>
      <c r="F1181" s="331">
        <v>0.6</v>
      </c>
      <c r="G1181" s="331">
        <v>1.6</v>
      </c>
      <c r="H1181" s="402">
        <f>2*G1181*F1181</f>
        <v>1.92</v>
      </c>
    </row>
    <row r="1182" spans="2:8" s="65" customFormat="1" ht="15.75" x14ac:dyDescent="0.25">
      <c r="B1182" s="386" t="s">
        <v>1256</v>
      </c>
      <c r="C1182" s="162">
        <v>180303</v>
      </c>
      <c r="D1182" s="153" t="s">
        <v>1257</v>
      </c>
      <c r="E1182" s="330" t="s">
        <v>24</v>
      </c>
      <c r="F1182" s="330" t="s">
        <v>26</v>
      </c>
      <c r="G1182" s="330" t="s">
        <v>31</v>
      </c>
      <c r="H1182" s="387">
        <f>SUM(H1183:H1185)</f>
        <v>1.2</v>
      </c>
    </row>
    <row r="1183" spans="2:8" s="65" customFormat="1" ht="20.100000000000001" customHeight="1" x14ac:dyDescent="0.25">
      <c r="B1183" s="396"/>
      <c r="C1183" s="322"/>
      <c r="D1183" s="83" t="s">
        <v>1258</v>
      </c>
      <c r="E1183" s="67" t="s">
        <v>24</v>
      </c>
      <c r="F1183" s="331">
        <v>0.6</v>
      </c>
      <c r="G1183" s="331">
        <v>1</v>
      </c>
      <c r="H1183" s="402">
        <f>2*G1183*F1183</f>
        <v>1.2</v>
      </c>
    </row>
    <row r="1184" spans="2:8" s="65" customFormat="1" ht="20.100000000000001" customHeight="1" x14ac:dyDescent="0.25">
      <c r="B1184" s="457" t="s">
        <v>466</v>
      </c>
      <c r="C1184" s="458"/>
      <c r="D1184" s="459"/>
      <c r="E1184" s="459"/>
      <c r="F1184" s="459"/>
      <c r="G1184" s="459"/>
      <c r="H1184" s="460"/>
    </row>
    <row r="1185" spans="2:8" s="65" customFormat="1" ht="20.100000000000001" customHeight="1" x14ac:dyDescent="0.25">
      <c r="B1185" s="377">
        <v>15</v>
      </c>
      <c r="C1185" s="233">
        <v>200000</v>
      </c>
      <c r="D1185" s="458" t="s">
        <v>467</v>
      </c>
      <c r="E1185" s="458"/>
      <c r="F1185" s="458"/>
      <c r="G1185" s="458"/>
      <c r="H1185" s="395" t="s">
        <v>755</v>
      </c>
    </row>
    <row r="1186" spans="2:8" s="65" customFormat="1" ht="20.100000000000001" customHeight="1" x14ac:dyDescent="0.25">
      <c r="B1186" s="386" t="s">
        <v>742</v>
      </c>
      <c r="C1186" s="162">
        <v>201302</v>
      </c>
      <c r="D1186" s="153" t="s">
        <v>210</v>
      </c>
      <c r="E1186" s="162" t="s">
        <v>24</v>
      </c>
      <c r="F1186" s="330" t="s">
        <v>26</v>
      </c>
      <c r="G1186" s="330" t="s">
        <v>31</v>
      </c>
      <c r="H1186" s="387">
        <f>SUM(H1187:H1230)</f>
        <v>587.08000000000015</v>
      </c>
    </row>
    <row r="1187" spans="2:8" s="65" customFormat="1" ht="20.100000000000001" customHeight="1" x14ac:dyDescent="0.25">
      <c r="B1187" s="411"/>
      <c r="C1187" s="281"/>
      <c r="D1187" s="61" t="s">
        <v>169</v>
      </c>
      <c r="E1187" s="339" t="s">
        <v>24</v>
      </c>
      <c r="F1187" s="338">
        <v>26.7</v>
      </c>
      <c r="G1187" s="338">
        <v>3</v>
      </c>
      <c r="H1187" s="391">
        <f>G1187*F1187</f>
        <v>80.099999999999994</v>
      </c>
    </row>
    <row r="1188" spans="2:8" s="65" customFormat="1" ht="20.100000000000001" customHeight="1" x14ac:dyDescent="0.25">
      <c r="B1188" s="412"/>
      <c r="C1188" s="282"/>
      <c r="D1188" s="61" t="s">
        <v>830</v>
      </c>
      <c r="E1188" s="339" t="s">
        <v>24</v>
      </c>
      <c r="F1188" s="338">
        <v>2.1</v>
      </c>
      <c r="G1188" s="338">
        <v>0.8</v>
      </c>
      <c r="H1188" s="391">
        <f>-G1188*F1188</f>
        <v>-1.6800000000000002</v>
      </c>
    </row>
    <row r="1189" spans="2:8" s="65" customFormat="1" ht="20.100000000000001" customHeight="1" x14ac:dyDescent="0.25">
      <c r="B1189" s="412"/>
      <c r="C1189" s="282"/>
      <c r="D1189" s="61" t="s">
        <v>829</v>
      </c>
      <c r="E1189" s="339" t="s">
        <v>24</v>
      </c>
      <c r="F1189" s="338">
        <v>6</v>
      </c>
      <c r="G1189" s="338">
        <v>0.7</v>
      </c>
      <c r="H1189" s="391">
        <f>-G1189*F1189</f>
        <v>-4.1999999999999993</v>
      </c>
    </row>
    <row r="1190" spans="2:8" s="65" customFormat="1" ht="20.100000000000001" customHeight="1" x14ac:dyDescent="0.25">
      <c r="B1190" s="412"/>
      <c r="C1190" s="282"/>
      <c r="D1190" s="61" t="s">
        <v>193</v>
      </c>
      <c r="E1190" s="339" t="s">
        <v>24</v>
      </c>
      <c r="F1190" s="338">
        <f>2.6+1.65+1.65+3.4+4+0.95+2.85+2.9</f>
        <v>20</v>
      </c>
      <c r="G1190" s="338">
        <v>3</v>
      </c>
      <c r="H1190" s="391">
        <f>G1190*F1190</f>
        <v>60</v>
      </c>
    </row>
    <row r="1191" spans="2:8" s="65" customFormat="1" ht="20.100000000000001" customHeight="1" x14ac:dyDescent="0.25">
      <c r="B1191" s="412"/>
      <c r="C1191" s="282"/>
      <c r="D1191" s="61" t="s">
        <v>194</v>
      </c>
      <c r="E1191" s="339" t="s">
        <v>24</v>
      </c>
      <c r="F1191" s="338">
        <v>20</v>
      </c>
      <c r="G1191" s="338">
        <v>3</v>
      </c>
      <c r="H1191" s="391">
        <f>G1191*F1191</f>
        <v>60</v>
      </c>
    </row>
    <row r="1192" spans="2:8" s="65" customFormat="1" ht="20.100000000000001" customHeight="1" x14ac:dyDescent="0.25">
      <c r="B1192" s="412"/>
      <c r="C1192" s="282"/>
      <c r="D1192" s="61" t="s">
        <v>247</v>
      </c>
      <c r="E1192" s="339" t="s">
        <v>24</v>
      </c>
      <c r="F1192" s="338">
        <v>6.35</v>
      </c>
      <c r="G1192" s="338">
        <v>3</v>
      </c>
      <c r="H1192" s="391">
        <f>G1192*F1192</f>
        <v>19.049999999999997</v>
      </c>
    </row>
    <row r="1193" spans="2:8" s="65" customFormat="1" ht="20.100000000000001" customHeight="1" x14ac:dyDescent="0.25">
      <c r="B1193" s="412"/>
      <c r="C1193" s="282"/>
      <c r="D1193" s="61" t="s">
        <v>828</v>
      </c>
      <c r="E1193" s="339" t="s">
        <v>24</v>
      </c>
      <c r="F1193" s="338">
        <v>0.7</v>
      </c>
      <c r="G1193" s="338">
        <v>2.1</v>
      </c>
      <c r="H1193" s="391">
        <f>-G1193*F1193</f>
        <v>-1.47</v>
      </c>
    </row>
    <row r="1194" spans="2:8" s="65" customFormat="1" ht="20.100000000000001" customHeight="1" x14ac:dyDescent="0.25">
      <c r="B1194" s="413"/>
      <c r="C1194" s="283"/>
      <c r="D1194" s="61" t="s">
        <v>252</v>
      </c>
      <c r="E1194" s="339" t="s">
        <v>24</v>
      </c>
      <c r="F1194" s="338">
        <v>1.9</v>
      </c>
      <c r="G1194" s="338">
        <v>0.75</v>
      </c>
      <c r="H1194" s="391">
        <f>-G1194*F1194</f>
        <v>-1.4249999999999998</v>
      </c>
    </row>
    <row r="1195" spans="2:8" s="65" customFormat="1" ht="20.100000000000001" customHeight="1" x14ac:dyDescent="0.25">
      <c r="B1195" s="411"/>
      <c r="C1195" s="281"/>
      <c r="D1195" s="61" t="s">
        <v>209</v>
      </c>
      <c r="E1195" s="339" t="s">
        <v>24</v>
      </c>
      <c r="F1195" s="337">
        <f>3.27+2.995+1.96+1.075+1.995+1.98+3.315+5.985</f>
        <v>22.575000000000003</v>
      </c>
      <c r="G1195" s="337">
        <v>3</v>
      </c>
      <c r="H1195" s="391">
        <f>G1195*F1195</f>
        <v>67.725000000000009</v>
      </c>
    </row>
    <row r="1196" spans="2:8" s="65" customFormat="1" ht="20.100000000000001" customHeight="1" x14ac:dyDescent="0.25">
      <c r="B1196" s="412"/>
      <c r="C1196" s="282"/>
      <c r="D1196" s="154" t="s">
        <v>285</v>
      </c>
      <c r="E1196" s="339" t="s">
        <v>24</v>
      </c>
      <c r="F1196" s="337">
        <v>1</v>
      </c>
      <c r="G1196" s="337">
        <v>2.1</v>
      </c>
      <c r="H1196" s="391">
        <f>-2*G1196*F1196</f>
        <v>-4.2</v>
      </c>
    </row>
    <row r="1197" spans="2:8" s="65" customFormat="1" ht="20.100000000000001" customHeight="1" x14ac:dyDescent="0.25">
      <c r="B1197" s="412"/>
      <c r="C1197" s="282"/>
      <c r="D1197" s="61" t="s">
        <v>827</v>
      </c>
      <c r="E1197" s="339" t="s">
        <v>24</v>
      </c>
      <c r="F1197" s="337">
        <v>1.9</v>
      </c>
      <c r="G1197" s="337">
        <v>0.75</v>
      </c>
      <c r="H1197" s="391">
        <f>-G1197*F1197</f>
        <v>-1.4249999999999998</v>
      </c>
    </row>
    <row r="1198" spans="2:8" s="65" customFormat="1" ht="20.100000000000001" customHeight="1" x14ac:dyDescent="0.25">
      <c r="B1198" s="412"/>
      <c r="C1198" s="282"/>
      <c r="D1198" s="61" t="s">
        <v>826</v>
      </c>
      <c r="E1198" s="339" t="s">
        <v>24</v>
      </c>
      <c r="F1198" s="337">
        <v>1.8</v>
      </c>
      <c r="G1198" s="337">
        <v>1.4</v>
      </c>
      <c r="H1198" s="391">
        <f>-G1198*F1198</f>
        <v>-2.52</v>
      </c>
    </row>
    <row r="1199" spans="2:8" s="65" customFormat="1" ht="20.100000000000001" customHeight="1" x14ac:dyDescent="0.25">
      <c r="B1199" s="412"/>
      <c r="C1199" s="282"/>
      <c r="D1199" s="61" t="s">
        <v>284</v>
      </c>
      <c r="E1199" s="339" t="s">
        <v>24</v>
      </c>
      <c r="F1199" s="337">
        <f>3.27+2.995+1.96+1.075+1.995+1.98+3.315+5.985</f>
        <v>22.575000000000003</v>
      </c>
      <c r="G1199" s="337">
        <v>3</v>
      </c>
      <c r="H1199" s="391">
        <f>G1199*F1199</f>
        <v>67.725000000000009</v>
      </c>
    </row>
    <row r="1200" spans="2:8" s="65" customFormat="1" ht="20.100000000000001" customHeight="1" x14ac:dyDescent="0.25">
      <c r="B1200" s="412"/>
      <c r="C1200" s="282"/>
      <c r="D1200" s="61" t="s">
        <v>285</v>
      </c>
      <c r="E1200" s="339" t="s">
        <v>24</v>
      </c>
      <c r="F1200" s="337">
        <v>1</v>
      </c>
      <c r="G1200" s="337">
        <v>2.1</v>
      </c>
      <c r="H1200" s="391">
        <f>-2*G1200*F1200</f>
        <v>-4.2</v>
      </c>
    </row>
    <row r="1201" spans="1:8" s="65" customFormat="1" ht="20.100000000000001" customHeight="1" x14ac:dyDescent="0.25">
      <c r="B1201" s="412"/>
      <c r="C1201" s="282"/>
      <c r="D1201" s="61" t="s">
        <v>827</v>
      </c>
      <c r="E1201" s="339" t="s">
        <v>24</v>
      </c>
      <c r="F1201" s="337">
        <v>1.9</v>
      </c>
      <c r="G1201" s="337">
        <v>0.75</v>
      </c>
      <c r="H1201" s="391">
        <f>-2*G1201*F1201</f>
        <v>-2.8499999999999996</v>
      </c>
    </row>
    <row r="1202" spans="1:8" s="65" customFormat="1" ht="20.100000000000001" customHeight="1" x14ac:dyDescent="0.25">
      <c r="B1202" s="412"/>
      <c r="C1202" s="282"/>
      <c r="D1202" s="61" t="s">
        <v>826</v>
      </c>
      <c r="E1202" s="339" t="s">
        <v>24</v>
      </c>
      <c r="F1202" s="337">
        <v>1.8</v>
      </c>
      <c r="G1202" s="337">
        <v>1.4</v>
      </c>
      <c r="H1202" s="391">
        <f>-G1202*F1202</f>
        <v>-2.52</v>
      </c>
    </row>
    <row r="1203" spans="1:8" s="65" customFormat="1" ht="20.100000000000001" customHeight="1" x14ac:dyDescent="0.25">
      <c r="B1203" s="412"/>
      <c r="C1203" s="282"/>
      <c r="D1203" s="61" t="s">
        <v>205</v>
      </c>
      <c r="E1203" s="339" t="s">
        <v>24</v>
      </c>
      <c r="F1203" s="337">
        <v>36.49</v>
      </c>
      <c r="G1203" s="337">
        <v>3</v>
      </c>
      <c r="H1203" s="391">
        <f>G1203*F1203</f>
        <v>109.47</v>
      </c>
    </row>
    <row r="1204" spans="1:8" s="65" customFormat="1" ht="20.100000000000001" customHeight="1" x14ac:dyDescent="0.25">
      <c r="B1204" s="412"/>
      <c r="C1204" s="282"/>
      <c r="D1204" s="61" t="s">
        <v>825</v>
      </c>
      <c r="E1204" s="339" t="s">
        <v>24</v>
      </c>
      <c r="F1204" s="337">
        <v>0.8</v>
      </c>
      <c r="G1204" s="337">
        <v>2.1</v>
      </c>
      <c r="H1204" s="391">
        <f>-4*G1204*F1204</f>
        <v>-6.7200000000000006</v>
      </c>
    </row>
    <row r="1205" spans="1:8" s="65" customFormat="1" ht="17.25" customHeight="1" x14ac:dyDescent="0.25">
      <c r="B1205" s="412"/>
      <c r="C1205" s="282"/>
      <c r="D1205" s="61" t="s">
        <v>824</v>
      </c>
      <c r="E1205" s="339" t="s">
        <v>24</v>
      </c>
      <c r="F1205" s="337">
        <v>1</v>
      </c>
      <c r="G1205" s="337">
        <v>2.1</v>
      </c>
      <c r="H1205" s="391">
        <f>-G1205*F1205</f>
        <v>-2.1</v>
      </c>
    </row>
    <row r="1206" spans="1:8" s="65" customFormat="1" ht="17.25" customHeight="1" x14ac:dyDescent="0.25">
      <c r="B1206" s="412"/>
      <c r="C1206" s="282"/>
      <c r="D1206" s="61" t="s">
        <v>823</v>
      </c>
      <c r="E1206" s="339" t="s">
        <v>24</v>
      </c>
      <c r="F1206" s="337">
        <v>2</v>
      </c>
      <c r="G1206" s="337">
        <v>1.4</v>
      </c>
      <c r="H1206" s="391">
        <f>-G1206*F1206</f>
        <v>-2.8</v>
      </c>
    </row>
    <row r="1207" spans="1:8" s="65" customFormat="1" ht="17.25" customHeight="1" x14ac:dyDescent="0.25">
      <c r="B1207" s="412"/>
      <c r="C1207" s="282"/>
      <c r="D1207" s="61" t="s">
        <v>822</v>
      </c>
      <c r="E1207" s="339" t="s">
        <v>24</v>
      </c>
      <c r="F1207" s="337">
        <v>2.4</v>
      </c>
      <c r="G1207" s="337">
        <v>1.4</v>
      </c>
      <c r="H1207" s="391">
        <f>-2*G1207*F1207</f>
        <v>-6.72</v>
      </c>
    </row>
    <row r="1208" spans="1:8" s="65" customFormat="1" ht="17.25" customHeight="1" x14ac:dyDescent="0.25">
      <c r="B1208" s="412"/>
      <c r="C1208" s="282"/>
      <c r="D1208" s="161" t="s">
        <v>926</v>
      </c>
      <c r="E1208" s="344" t="s">
        <v>24</v>
      </c>
      <c r="F1208" s="235">
        <v>0.6</v>
      </c>
      <c r="G1208" s="235">
        <v>1.1000000000000001</v>
      </c>
      <c r="H1208" s="392">
        <f>-G1208*F1208</f>
        <v>-0.66</v>
      </c>
    </row>
    <row r="1209" spans="1:8" s="65" customFormat="1" ht="17.25" customHeight="1" x14ac:dyDescent="0.25">
      <c r="B1209" s="412"/>
      <c r="C1209" s="282"/>
      <c r="D1209" s="61" t="s">
        <v>312</v>
      </c>
      <c r="E1209" s="339" t="s">
        <v>24</v>
      </c>
      <c r="F1209" s="337">
        <f>(3.1+3.11)*2</f>
        <v>12.42</v>
      </c>
      <c r="G1209" s="337">
        <v>3</v>
      </c>
      <c r="H1209" s="391">
        <f>G1209*F1209</f>
        <v>37.26</v>
      </c>
    </row>
    <row r="1210" spans="1:8" s="65" customFormat="1" ht="17.25" customHeight="1" x14ac:dyDescent="0.25">
      <c r="B1210" s="412"/>
      <c r="C1210" s="282"/>
      <c r="D1210" s="61" t="s">
        <v>820</v>
      </c>
      <c r="E1210" s="339" t="s">
        <v>24</v>
      </c>
      <c r="F1210" s="337">
        <v>0.8</v>
      </c>
      <c r="G1210" s="337">
        <v>2.1</v>
      </c>
      <c r="H1210" s="391">
        <f>-G1210*F1210</f>
        <v>-1.6800000000000002</v>
      </c>
    </row>
    <row r="1211" spans="1:8" s="65" customFormat="1" ht="17.25" customHeight="1" x14ac:dyDescent="0.25">
      <c r="B1211" s="412"/>
      <c r="C1211" s="282"/>
      <c r="D1211" s="61" t="s">
        <v>821</v>
      </c>
      <c r="E1211" s="339" t="s">
        <v>24</v>
      </c>
      <c r="F1211" s="337">
        <v>1.3</v>
      </c>
      <c r="G1211" s="337">
        <v>1.4</v>
      </c>
      <c r="H1211" s="391">
        <f>-G1211*F1211</f>
        <v>-1.8199999999999998</v>
      </c>
    </row>
    <row r="1212" spans="1:8" s="65" customFormat="1" ht="20.100000000000001" customHeight="1" x14ac:dyDescent="0.25">
      <c r="B1212" s="412"/>
      <c r="C1212" s="282"/>
      <c r="D1212" s="161" t="s">
        <v>926</v>
      </c>
      <c r="E1212" s="344" t="s">
        <v>24</v>
      </c>
      <c r="F1212" s="235">
        <v>0.6</v>
      </c>
      <c r="G1212" s="235">
        <v>1.1000000000000001</v>
      </c>
      <c r="H1212" s="392">
        <f>G1212*F1212</f>
        <v>0.66</v>
      </c>
    </row>
    <row r="1213" spans="1:8" s="69" customFormat="1" ht="20.100000000000001" customHeight="1" x14ac:dyDescent="0.25">
      <c r="A1213" s="65"/>
      <c r="B1213" s="412"/>
      <c r="C1213" s="282"/>
      <c r="D1213" s="156" t="s">
        <v>147</v>
      </c>
      <c r="E1213" s="339" t="s">
        <v>24</v>
      </c>
      <c r="F1213" s="337">
        <f>3.05+3.05+4.13+4.13</f>
        <v>14.36</v>
      </c>
      <c r="G1213" s="337">
        <v>3</v>
      </c>
      <c r="H1213" s="391">
        <f>G1213*F1213</f>
        <v>43.08</v>
      </c>
    </row>
    <row r="1214" spans="1:8" s="69" customFormat="1" ht="20.100000000000001" customHeight="1" x14ac:dyDescent="0.25">
      <c r="A1214" s="65"/>
      <c r="B1214" s="412"/>
      <c r="C1214" s="282"/>
      <c r="D1214" s="61" t="s">
        <v>820</v>
      </c>
      <c r="E1214" s="339" t="s">
        <v>24</v>
      </c>
      <c r="F1214" s="337">
        <v>0.8</v>
      </c>
      <c r="G1214" s="337">
        <v>2.1</v>
      </c>
      <c r="H1214" s="391">
        <f>-G1214*F1214</f>
        <v>-1.6800000000000002</v>
      </c>
    </row>
    <row r="1215" spans="1:8" s="65" customFormat="1" ht="20.100000000000001" customHeight="1" x14ac:dyDescent="0.25">
      <c r="B1215" s="412"/>
      <c r="C1215" s="282"/>
      <c r="D1215" s="61" t="s">
        <v>831</v>
      </c>
      <c r="E1215" s="339" t="s">
        <v>24</v>
      </c>
      <c r="F1215" s="337">
        <v>1.8</v>
      </c>
      <c r="G1215" s="337">
        <v>1.4</v>
      </c>
      <c r="H1215" s="391">
        <f>-G1215*F1215</f>
        <v>-2.52</v>
      </c>
    </row>
    <row r="1216" spans="1:8" s="65" customFormat="1" ht="20.100000000000001" customHeight="1" x14ac:dyDescent="0.25">
      <c r="A1216" s="69"/>
      <c r="B1216" s="412"/>
      <c r="C1216" s="282"/>
      <c r="D1216" s="156" t="s">
        <v>310</v>
      </c>
      <c r="E1216" s="339" t="s">
        <v>24</v>
      </c>
      <c r="F1216" s="337">
        <f>3.04+2.02+2.02+3.04</f>
        <v>10.120000000000001</v>
      </c>
      <c r="G1216" s="337">
        <v>3</v>
      </c>
      <c r="H1216" s="391">
        <f>G1216*F1216</f>
        <v>30.360000000000003</v>
      </c>
    </row>
    <row r="1217" spans="1:8" s="65" customFormat="1" ht="20.100000000000001" customHeight="1" x14ac:dyDescent="0.25">
      <c r="A1217" s="69"/>
      <c r="B1217" s="412"/>
      <c r="C1217" s="282"/>
      <c r="D1217" s="61" t="s">
        <v>820</v>
      </c>
      <c r="E1217" s="339" t="s">
        <v>24</v>
      </c>
      <c r="F1217" s="337">
        <v>0.8</v>
      </c>
      <c r="G1217" s="337">
        <v>2.1</v>
      </c>
      <c r="H1217" s="391">
        <f>-G1217*F1217</f>
        <v>-1.6800000000000002</v>
      </c>
    </row>
    <row r="1218" spans="1:8" s="65" customFormat="1" ht="20.100000000000001" customHeight="1" x14ac:dyDescent="0.25">
      <c r="B1218" s="412"/>
      <c r="C1218" s="282"/>
      <c r="D1218" s="61" t="s">
        <v>832</v>
      </c>
      <c r="E1218" s="339" t="s">
        <v>24</v>
      </c>
      <c r="F1218" s="337">
        <v>2</v>
      </c>
      <c r="G1218" s="337">
        <v>1.4</v>
      </c>
      <c r="H1218" s="391">
        <f>-G1218*F1218</f>
        <v>-2.8</v>
      </c>
    </row>
    <row r="1219" spans="1:8" s="65" customFormat="1" ht="20.100000000000001" customHeight="1" x14ac:dyDescent="0.2">
      <c r="B1219" s="412"/>
      <c r="C1219" s="282"/>
      <c r="D1219" s="164" t="s">
        <v>946</v>
      </c>
      <c r="E1219" s="339" t="s">
        <v>24</v>
      </c>
      <c r="F1219" s="66">
        <v>5.3</v>
      </c>
      <c r="G1219" s="66">
        <v>3.1</v>
      </c>
      <c r="H1219" s="407">
        <v>16.43</v>
      </c>
    </row>
    <row r="1220" spans="1:8" s="65" customFormat="1" ht="20.100000000000001" customHeight="1" x14ac:dyDescent="0.2">
      <c r="B1220" s="412"/>
      <c r="C1220" s="282"/>
      <c r="D1220" s="164" t="s">
        <v>947</v>
      </c>
      <c r="E1220" s="339" t="s">
        <v>24</v>
      </c>
      <c r="F1220" s="66">
        <v>0.6</v>
      </c>
      <c r="G1220" s="66">
        <v>0.75</v>
      </c>
      <c r="H1220" s="407">
        <v>-0.44999999999999996</v>
      </c>
    </row>
    <row r="1221" spans="1:8" s="65" customFormat="1" ht="20.100000000000001" customHeight="1" x14ac:dyDescent="0.2">
      <c r="B1221" s="412"/>
      <c r="C1221" s="282"/>
      <c r="D1221" s="164" t="s">
        <v>930</v>
      </c>
      <c r="E1221" s="339" t="s">
        <v>24</v>
      </c>
      <c r="F1221" s="66">
        <v>0.8</v>
      </c>
      <c r="G1221" s="66">
        <v>2.1</v>
      </c>
      <c r="H1221" s="407">
        <v>-1.6800000000000002</v>
      </c>
    </row>
    <row r="1222" spans="1:8" s="65" customFormat="1" ht="20.100000000000001" customHeight="1" x14ac:dyDescent="0.2">
      <c r="B1222" s="412"/>
      <c r="C1222" s="282"/>
      <c r="D1222" s="164" t="s">
        <v>948</v>
      </c>
      <c r="E1222" s="339" t="s">
        <v>24</v>
      </c>
      <c r="F1222" s="66">
        <v>5.3</v>
      </c>
      <c r="G1222" s="66">
        <v>3.1</v>
      </c>
      <c r="H1222" s="407">
        <v>16.43</v>
      </c>
    </row>
    <row r="1223" spans="1:8" s="65" customFormat="1" ht="20.100000000000001" customHeight="1" x14ac:dyDescent="0.2">
      <c r="B1223" s="412"/>
      <c r="C1223" s="282"/>
      <c r="D1223" s="164" t="s">
        <v>947</v>
      </c>
      <c r="E1223" s="339" t="s">
        <v>24</v>
      </c>
      <c r="F1223" s="66">
        <v>0.6</v>
      </c>
      <c r="G1223" s="66">
        <v>0.75</v>
      </c>
      <c r="H1223" s="407">
        <v>-0.44999999999999996</v>
      </c>
    </row>
    <row r="1224" spans="1:8" s="65" customFormat="1" ht="20.100000000000001" customHeight="1" x14ac:dyDescent="0.2">
      <c r="B1224" s="412"/>
      <c r="C1224" s="282"/>
      <c r="D1224" s="164" t="s">
        <v>930</v>
      </c>
      <c r="E1224" s="339" t="s">
        <v>24</v>
      </c>
      <c r="F1224" s="66">
        <v>0.8</v>
      </c>
      <c r="G1224" s="66">
        <v>2.1</v>
      </c>
      <c r="H1224" s="407">
        <v>-1.6800000000000002</v>
      </c>
    </row>
    <row r="1225" spans="1:8" s="65" customFormat="1" ht="20.100000000000001" customHeight="1" x14ac:dyDescent="0.2">
      <c r="B1225" s="412"/>
      <c r="C1225" s="282"/>
      <c r="D1225" s="164" t="s">
        <v>949</v>
      </c>
      <c r="E1225" s="339" t="s">
        <v>24</v>
      </c>
      <c r="F1225" s="66">
        <v>7.4</v>
      </c>
      <c r="G1225" s="66">
        <v>3.1</v>
      </c>
      <c r="H1225" s="407">
        <v>22.94</v>
      </c>
    </row>
    <row r="1226" spans="1:8" s="65" customFormat="1" ht="20.100000000000001" customHeight="1" x14ac:dyDescent="0.2">
      <c r="B1226" s="412"/>
      <c r="C1226" s="282"/>
      <c r="D1226" s="164" t="s">
        <v>950</v>
      </c>
      <c r="E1226" s="339" t="s">
        <v>24</v>
      </c>
      <c r="F1226" s="66">
        <v>1.2</v>
      </c>
      <c r="G1226" s="66">
        <v>0.75</v>
      </c>
      <c r="H1226" s="407">
        <v>-0.89999999999999991</v>
      </c>
    </row>
    <row r="1227" spans="1:8" s="65" customFormat="1" ht="20.100000000000001" customHeight="1" x14ac:dyDescent="0.2">
      <c r="B1227" s="412"/>
      <c r="C1227" s="282"/>
      <c r="D1227" s="164" t="s">
        <v>930</v>
      </c>
      <c r="E1227" s="339" t="s">
        <v>24</v>
      </c>
      <c r="F1227" s="66">
        <v>0.8</v>
      </c>
      <c r="G1227" s="66">
        <v>2.1</v>
      </c>
      <c r="H1227" s="407">
        <v>-1.6800000000000002</v>
      </c>
    </row>
    <row r="1228" spans="1:8" s="65" customFormat="1" ht="20.100000000000001" customHeight="1" x14ac:dyDescent="0.2">
      <c r="B1228" s="412"/>
      <c r="C1228" s="282"/>
      <c r="D1228" s="164" t="s">
        <v>951</v>
      </c>
      <c r="E1228" s="339" t="s">
        <v>24</v>
      </c>
      <c r="F1228" s="66">
        <v>7.4</v>
      </c>
      <c r="G1228" s="66">
        <v>3.1</v>
      </c>
      <c r="H1228" s="407">
        <v>22.94</v>
      </c>
    </row>
    <row r="1229" spans="1:8" s="65" customFormat="1" ht="20.100000000000001" customHeight="1" x14ac:dyDescent="0.2">
      <c r="B1229" s="412"/>
      <c r="C1229" s="282"/>
      <c r="D1229" s="164" t="s">
        <v>950</v>
      </c>
      <c r="E1229" s="339" t="s">
        <v>24</v>
      </c>
      <c r="F1229" s="66">
        <v>1.2</v>
      </c>
      <c r="G1229" s="66">
        <v>0.75</v>
      </c>
      <c r="H1229" s="407">
        <v>-0.89999999999999991</v>
      </c>
    </row>
    <row r="1230" spans="1:8" s="65" customFormat="1" ht="20.100000000000001" customHeight="1" x14ac:dyDescent="0.2">
      <c r="B1230" s="413"/>
      <c r="C1230" s="283"/>
      <c r="D1230" s="164" t="s">
        <v>930</v>
      </c>
      <c r="E1230" s="339" t="s">
        <v>24</v>
      </c>
      <c r="F1230" s="66">
        <v>0.8</v>
      </c>
      <c r="G1230" s="66">
        <v>2.1</v>
      </c>
      <c r="H1230" s="407">
        <v>-1.6800000000000002</v>
      </c>
    </row>
    <row r="1231" spans="1:8" s="137" customFormat="1" ht="20.100000000000001" customHeight="1" x14ac:dyDescent="0.25">
      <c r="A1231" s="65"/>
      <c r="B1231" s="386" t="s">
        <v>743</v>
      </c>
      <c r="C1231" s="163">
        <v>200101</v>
      </c>
      <c r="D1231" s="153" t="s">
        <v>762</v>
      </c>
      <c r="E1231" s="162" t="s">
        <v>24</v>
      </c>
      <c r="F1231" s="485" t="s">
        <v>289</v>
      </c>
      <c r="G1231" s="486"/>
      <c r="H1231" s="387">
        <f>SUM(H1232:H1254)</f>
        <v>391.69399999999996</v>
      </c>
    </row>
    <row r="1232" spans="1:8" s="65" customFormat="1" ht="20.100000000000001" customHeight="1" x14ac:dyDescent="0.25">
      <c r="B1232" s="414"/>
      <c r="C1232" s="324"/>
      <c r="D1232" s="156" t="s">
        <v>782</v>
      </c>
      <c r="E1232" s="339" t="s">
        <v>24</v>
      </c>
      <c r="F1232" s="506">
        <f>0.5385+1.348+0.47+0.013</f>
        <v>2.3694999999999999</v>
      </c>
      <c r="G1232" s="507"/>
      <c r="H1232" s="391">
        <f>F1232</f>
        <v>2.3694999999999999</v>
      </c>
    </row>
    <row r="1233" spans="1:8" s="65" customFormat="1" ht="20.100000000000001" customHeight="1" x14ac:dyDescent="0.25">
      <c r="B1233" s="409"/>
      <c r="C1233" s="326"/>
      <c r="D1233" s="156" t="s">
        <v>784</v>
      </c>
      <c r="E1233" s="339" t="s">
        <v>24</v>
      </c>
      <c r="F1233" s="506">
        <f>0.5385+1.348+0.47+0.013</f>
        <v>2.3694999999999999</v>
      </c>
      <c r="G1233" s="507"/>
      <c r="H1233" s="391">
        <f>F1233</f>
        <v>2.3694999999999999</v>
      </c>
    </row>
    <row r="1234" spans="1:8" s="65" customFormat="1" ht="20.100000000000001" customHeight="1" x14ac:dyDescent="0.25">
      <c r="A1234" s="137"/>
      <c r="B1234" s="409"/>
      <c r="C1234" s="326"/>
      <c r="D1234" s="61" t="s">
        <v>917</v>
      </c>
      <c r="E1234" s="339" t="s">
        <v>24</v>
      </c>
      <c r="F1234" s="461">
        <v>2.37</v>
      </c>
      <c r="G1234" s="462"/>
      <c r="H1234" s="392">
        <f>F1234</f>
        <v>2.37</v>
      </c>
    </row>
    <row r="1235" spans="1:8" s="137" customFormat="1" ht="20.100000000000001" customHeight="1" x14ac:dyDescent="0.25">
      <c r="A1235" s="65"/>
      <c r="B1235" s="409"/>
      <c r="C1235" s="326"/>
      <c r="D1235" s="156" t="s">
        <v>925</v>
      </c>
      <c r="E1235" s="339" t="s">
        <v>24</v>
      </c>
      <c r="F1235" s="506">
        <v>4</v>
      </c>
      <c r="G1235" s="507"/>
      <c r="H1235" s="392">
        <f t="shared" ref="H1235:H1236" si="68">F1235</f>
        <v>4</v>
      </c>
    </row>
    <row r="1236" spans="1:8" s="65" customFormat="1" ht="20.100000000000001" customHeight="1" x14ac:dyDescent="0.25">
      <c r="B1236" s="409"/>
      <c r="C1236" s="326"/>
      <c r="D1236" s="156" t="s">
        <v>924</v>
      </c>
      <c r="E1236" s="339" t="s">
        <v>24</v>
      </c>
      <c r="F1236" s="506">
        <v>4</v>
      </c>
      <c r="G1236" s="507"/>
      <c r="H1236" s="392">
        <f t="shared" si="68"/>
        <v>4</v>
      </c>
    </row>
    <row r="1237" spans="1:8" s="65" customFormat="1" ht="20.100000000000001" customHeight="1" x14ac:dyDescent="0.25">
      <c r="B1237" s="415"/>
      <c r="C1237" s="284"/>
      <c r="D1237" s="161" t="s">
        <v>785</v>
      </c>
      <c r="E1237" s="339" t="s">
        <v>24</v>
      </c>
      <c r="F1237" s="235">
        <f>3.3*2+6.2</f>
        <v>12.8</v>
      </c>
      <c r="G1237" s="235">
        <v>3</v>
      </c>
      <c r="H1237" s="392">
        <f>G1237*F1237</f>
        <v>38.400000000000006</v>
      </c>
    </row>
    <row r="1238" spans="1:8" s="65" customFormat="1" ht="20.100000000000001" customHeight="1" x14ac:dyDescent="0.25">
      <c r="A1238" s="137"/>
      <c r="B1238" s="416"/>
      <c r="C1238" s="285"/>
      <c r="D1238" s="161" t="s">
        <v>786</v>
      </c>
      <c r="E1238" s="339" t="s">
        <v>24</v>
      </c>
      <c r="F1238" s="235">
        <v>1.8</v>
      </c>
      <c r="G1238" s="235">
        <v>1.4</v>
      </c>
      <c r="H1238" s="392">
        <f>-G1238*F1238</f>
        <v>-2.52</v>
      </c>
    </row>
    <row r="1239" spans="1:8" s="65" customFormat="1" ht="20.100000000000001" customHeight="1" x14ac:dyDescent="0.25">
      <c r="B1239" s="417"/>
      <c r="C1239" s="286"/>
      <c r="D1239" s="161" t="s">
        <v>787</v>
      </c>
      <c r="E1239" s="339" t="s">
        <v>24</v>
      </c>
      <c r="F1239" s="235">
        <v>1.9</v>
      </c>
      <c r="G1239" s="235">
        <v>0.75</v>
      </c>
      <c r="H1239" s="392">
        <f>-G1239*F1239</f>
        <v>-1.4249999999999998</v>
      </c>
    </row>
    <row r="1240" spans="1:8" s="65" customFormat="1" ht="20.100000000000001" customHeight="1" x14ac:dyDescent="0.25">
      <c r="B1240" s="415"/>
      <c r="C1240" s="284"/>
      <c r="D1240" s="161" t="s">
        <v>811</v>
      </c>
      <c r="E1240" s="339" t="s">
        <v>24</v>
      </c>
      <c r="F1240" s="235">
        <v>1</v>
      </c>
      <c r="G1240" s="235">
        <v>2.1</v>
      </c>
      <c r="H1240" s="392">
        <f>-G1240*F1240</f>
        <v>-2.1</v>
      </c>
    </row>
    <row r="1241" spans="1:8" s="65" customFormat="1" ht="20.100000000000001" customHeight="1" x14ac:dyDescent="0.25">
      <c r="B1241" s="415"/>
      <c r="C1241" s="284"/>
      <c r="D1241" s="61" t="s">
        <v>801</v>
      </c>
      <c r="E1241" s="340" t="s">
        <v>24</v>
      </c>
      <c r="F1241" s="331">
        <f>0.765+2.5+6.2</f>
        <v>9.4649999999999999</v>
      </c>
      <c r="G1241" s="338">
        <v>3</v>
      </c>
      <c r="H1241" s="385">
        <f>G1241*F1241</f>
        <v>28.395</v>
      </c>
    </row>
    <row r="1242" spans="1:8" s="65" customFormat="1" ht="20.100000000000001" customHeight="1" x14ac:dyDescent="0.25">
      <c r="B1242" s="415"/>
      <c r="C1242" s="284"/>
      <c r="D1242" s="61" t="s">
        <v>773</v>
      </c>
      <c r="E1242" s="340" t="s">
        <v>24</v>
      </c>
      <c r="F1242" s="331">
        <v>1</v>
      </c>
      <c r="G1242" s="338">
        <v>2.1</v>
      </c>
      <c r="H1242" s="385">
        <f>-G1242*F1242</f>
        <v>-2.1</v>
      </c>
    </row>
    <row r="1243" spans="1:8" s="65" customFormat="1" ht="20.100000000000001" customHeight="1" x14ac:dyDescent="0.25">
      <c r="B1243" s="415"/>
      <c r="C1243" s="284"/>
      <c r="D1243" s="61" t="s">
        <v>804</v>
      </c>
      <c r="E1243" s="340" t="s">
        <v>24</v>
      </c>
      <c r="F1243" s="331">
        <f>2.5+0.75+1</f>
        <v>4.25</v>
      </c>
      <c r="G1243" s="338">
        <v>3</v>
      </c>
      <c r="H1243" s="385">
        <f>G1243*F1243</f>
        <v>12.75</v>
      </c>
    </row>
    <row r="1244" spans="1:8" s="65" customFormat="1" ht="20.100000000000001" customHeight="1" x14ac:dyDescent="0.25">
      <c r="B1244" s="415"/>
      <c r="C1244" s="284"/>
      <c r="D1244" s="61" t="s">
        <v>810</v>
      </c>
      <c r="E1244" s="340" t="s">
        <v>24</v>
      </c>
      <c r="F1244" s="331">
        <f>1+3.5+1.1</f>
        <v>5.6</v>
      </c>
      <c r="G1244" s="338">
        <v>3</v>
      </c>
      <c r="H1244" s="385">
        <f>G1244*F1244</f>
        <v>16.799999999999997</v>
      </c>
    </row>
    <row r="1245" spans="1:8" s="65" customFormat="1" ht="20.100000000000001" customHeight="1" x14ac:dyDescent="0.25">
      <c r="B1245" s="415"/>
      <c r="C1245" s="284"/>
      <c r="D1245" s="161" t="s">
        <v>812</v>
      </c>
      <c r="E1245" s="339" t="s">
        <v>24</v>
      </c>
      <c r="F1245" s="235">
        <v>2.5</v>
      </c>
      <c r="G1245" s="235">
        <v>1.4</v>
      </c>
      <c r="H1245" s="392">
        <f>-G1245*F1245</f>
        <v>-3.5</v>
      </c>
    </row>
    <row r="1246" spans="1:8" s="65" customFormat="1" ht="20.100000000000001" customHeight="1" x14ac:dyDescent="0.25">
      <c r="B1246" s="415"/>
      <c r="C1246" s="284"/>
      <c r="D1246" s="161" t="s">
        <v>818</v>
      </c>
      <c r="E1246" s="340" t="s">
        <v>24</v>
      </c>
      <c r="F1246" s="235">
        <f>1.325</f>
        <v>1.325</v>
      </c>
      <c r="G1246" s="235">
        <v>3</v>
      </c>
      <c r="H1246" s="392">
        <f>G1246*F1246</f>
        <v>3.9749999999999996</v>
      </c>
    </row>
    <row r="1247" spans="1:8" s="65" customFormat="1" ht="20.100000000000001" customHeight="1" x14ac:dyDescent="0.25">
      <c r="B1247" s="415"/>
      <c r="C1247" s="284"/>
      <c r="D1247" s="161" t="s">
        <v>1279</v>
      </c>
      <c r="E1247" s="340" t="s">
        <v>24</v>
      </c>
      <c r="F1247" s="235">
        <v>0.6</v>
      </c>
      <c r="G1247" s="235">
        <v>1.1000000000000001</v>
      </c>
      <c r="H1247" s="392">
        <f>-G1247*F1247</f>
        <v>-0.66</v>
      </c>
    </row>
    <row r="1248" spans="1:8" s="65" customFormat="1" ht="20.100000000000001" customHeight="1" x14ac:dyDescent="0.25">
      <c r="B1248" s="415"/>
      <c r="C1248" s="284"/>
      <c r="D1248" s="161" t="s">
        <v>844</v>
      </c>
      <c r="E1248" s="340" t="s">
        <v>24</v>
      </c>
      <c r="F1248" s="235">
        <v>0.8</v>
      </c>
      <c r="G1248" s="235">
        <v>2.1</v>
      </c>
      <c r="H1248" s="392">
        <f>-G1248*F1248</f>
        <v>-1.6800000000000002</v>
      </c>
    </row>
    <row r="1249" spans="2:8" s="65" customFormat="1" ht="20.100000000000001" customHeight="1" x14ac:dyDescent="0.25">
      <c r="B1249" s="415"/>
      <c r="C1249" s="284"/>
      <c r="D1249" s="161" t="s">
        <v>819</v>
      </c>
      <c r="E1249" s="340" t="s">
        <v>24</v>
      </c>
      <c r="F1249" s="235">
        <v>1.33</v>
      </c>
      <c r="G1249" s="235">
        <v>3</v>
      </c>
      <c r="H1249" s="392">
        <f>G1249*F1249</f>
        <v>3.99</v>
      </c>
    </row>
    <row r="1250" spans="2:8" s="65" customFormat="1" ht="20.100000000000001" customHeight="1" x14ac:dyDescent="0.25">
      <c r="B1250" s="415"/>
      <c r="C1250" s="284"/>
      <c r="D1250" s="161" t="s">
        <v>1278</v>
      </c>
      <c r="E1250" s="340" t="s">
        <v>24</v>
      </c>
      <c r="F1250" s="235">
        <v>0.6</v>
      </c>
      <c r="G1250" s="235">
        <v>1.1000000000000001</v>
      </c>
      <c r="H1250" s="392">
        <f>-G1250*F1250</f>
        <v>-0.66</v>
      </c>
    </row>
    <row r="1251" spans="2:8" s="65" customFormat="1" ht="20.100000000000001" customHeight="1" x14ac:dyDescent="0.25">
      <c r="B1251" s="415"/>
      <c r="C1251" s="284"/>
      <c r="D1251" s="161" t="s">
        <v>874</v>
      </c>
      <c r="E1251" s="340" t="s">
        <v>24</v>
      </c>
      <c r="F1251" s="235">
        <v>0.8</v>
      </c>
      <c r="G1251" s="235">
        <v>2.1</v>
      </c>
      <c r="H1251" s="392">
        <f>-G1251*F1251</f>
        <v>-1.6800000000000002</v>
      </c>
    </row>
    <row r="1252" spans="2:8" s="65" customFormat="1" ht="20.100000000000001" customHeight="1" x14ac:dyDescent="0.25">
      <c r="B1252" s="415"/>
      <c r="C1252" s="284"/>
      <c r="D1252" s="64" t="s">
        <v>1036</v>
      </c>
      <c r="E1252" s="340" t="s">
        <v>24</v>
      </c>
      <c r="F1252" s="340">
        <f>8.25+7.2+8.25+7.2</f>
        <v>30.9</v>
      </c>
      <c r="G1252" s="66">
        <v>1.5</v>
      </c>
      <c r="H1252" s="407">
        <f>F1252*G1252*2</f>
        <v>92.699999999999989</v>
      </c>
    </row>
    <row r="1253" spans="2:8" s="65" customFormat="1" ht="20.100000000000001" customHeight="1" x14ac:dyDescent="0.25">
      <c r="B1253" s="415"/>
      <c r="C1253" s="284"/>
      <c r="D1253" s="64" t="s">
        <v>1062</v>
      </c>
      <c r="E1253" s="340" t="s">
        <v>24</v>
      </c>
      <c r="F1253" s="566">
        <v>60</v>
      </c>
      <c r="G1253" s="567"/>
      <c r="H1253" s="407">
        <f>F1253</f>
        <v>60</v>
      </c>
    </row>
    <row r="1254" spans="2:8" s="65" customFormat="1" ht="20.100000000000001" customHeight="1" x14ac:dyDescent="0.25">
      <c r="B1254" s="415"/>
      <c r="C1254" s="284"/>
      <c r="D1254" s="157" t="s">
        <v>973</v>
      </c>
      <c r="E1254" s="158" t="s">
        <v>24</v>
      </c>
      <c r="F1254" s="159" t="s">
        <v>26</v>
      </c>
      <c r="G1254" s="159" t="s">
        <v>31</v>
      </c>
      <c r="H1254" s="397">
        <f>SUM(H1255:H1257)</f>
        <v>135.9</v>
      </c>
    </row>
    <row r="1255" spans="2:8" s="65" customFormat="1" ht="20.100000000000001" customHeight="1" x14ac:dyDescent="0.25">
      <c r="B1255" s="415"/>
      <c r="C1255" s="284"/>
      <c r="D1255" s="83" t="s">
        <v>1275</v>
      </c>
      <c r="E1255" s="340" t="s">
        <v>24</v>
      </c>
      <c r="F1255" s="331">
        <v>51.7</v>
      </c>
      <c r="G1255" s="331">
        <v>0.6</v>
      </c>
      <c r="H1255" s="402">
        <f>F1255*G1255*2</f>
        <v>62.04</v>
      </c>
    </row>
    <row r="1256" spans="2:8" s="65" customFormat="1" ht="20.100000000000001" customHeight="1" x14ac:dyDescent="0.25">
      <c r="B1256" s="415"/>
      <c r="C1256" s="284"/>
      <c r="D1256" s="83" t="s">
        <v>1276</v>
      </c>
      <c r="E1256" s="340" t="s">
        <v>24</v>
      </c>
      <c r="F1256" s="331">
        <f>4.35+5.5</f>
        <v>9.85</v>
      </c>
      <c r="G1256" s="331">
        <v>0.6</v>
      </c>
      <c r="H1256" s="402">
        <f>F1256*G1256*2</f>
        <v>11.819999999999999</v>
      </c>
    </row>
    <row r="1257" spans="2:8" s="65" customFormat="1" ht="20.100000000000001" customHeight="1" x14ac:dyDescent="0.25">
      <c r="B1257" s="416"/>
      <c r="C1257" s="285"/>
      <c r="D1257" s="83" t="s">
        <v>1277</v>
      </c>
      <c r="E1257" s="340" t="s">
        <v>24</v>
      </c>
      <c r="F1257" s="331">
        <v>51.7</v>
      </c>
      <c r="G1257" s="331">
        <v>0.6</v>
      </c>
      <c r="H1257" s="402">
        <f>F1257*G1257*2</f>
        <v>62.04</v>
      </c>
    </row>
    <row r="1258" spans="2:8" s="65" customFormat="1" ht="20.100000000000001" customHeight="1" x14ac:dyDescent="0.25">
      <c r="B1258" s="386" t="s">
        <v>983</v>
      </c>
      <c r="C1258" s="163">
        <v>200201</v>
      </c>
      <c r="D1258" s="153" t="s">
        <v>780</v>
      </c>
      <c r="E1258" s="162" t="s">
        <v>24</v>
      </c>
      <c r="F1258" s="485" t="s">
        <v>289</v>
      </c>
      <c r="G1258" s="486"/>
      <c r="H1258" s="387">
        <f>SUM(H1259:H1281)</f>
        <v>391.69399999999996</v>
      </c>
    </row>
    <row r="1259" spans="2:8" s="65" customFormat="1" ht="20.100000000000001" customHeight="1" x14ac:dyDescent="0.25">
      <c r="B1259" s="414"/>
      <c r="C1259" s="324"/>
      <c r="D1259" s="156" t="s">
        <v>782</v>
      </c>
      <c r="E1259" s="339" t="s">
        <v>24</v>
      </c>
      <c r="F1259" s="506">
        <f>0.5385+1.348+0.47+0.013</f>
        <v>2.3694999999999999</v>
      </c>
      <c r="G1259" s="507"/>
      <c r="H1259" s="391">
        <f>F1259</f>
        <v>2.3694999999999999</v>
      </c>
    </row>
    <row r="1260" spans="2:8" s="65" customFormat="1" ht="20.100000000000001" customHeight="1" x14ac:dyDescent="0.25">
      <c r="B1260" s="409"/>
      <c r="C1260" s="326"/>
      <c r="D1260" s="156" t="s">
        <v>784</v>
      </c>
      <c r="E1260" s="339" t="s">
        <v>24</v>
      </c>
      <c r="F1260" s="506">
        <f>0.5385+1.348+0.47+0.013</f>
        <v>2.3694999999999999</v>
      </c>
      <c r="G1260" s="507"/>
      <c r="H1260" s="391">
        <f>F1260</f>
        <v>2.3694999999999999</v>
      </c>
    </row>
    <row r="1261" spans="2:8" s="65" customFormat="1" ht="20.100000000000001" customHeight="1" x14ac:dyDescent="0.25">
      <c r="B1261" s="409"/>
      <c r="C1261" s="326"/>
      <c r="D1261" s="61" t="s">
        <v>917</v>
      </c>
      <c r="E1261" s="339" t="s">
        <v>24</v>
      </c>
      <c r="F1261" s="461">
        <v>2.37</v>
      </c>
      <c r="G1261" s="462"/>
      <c r="H1261" s="392">
        <f>F1261</f>
        <v>2.37</v>
      </c>
    </row>
    <row r="1262" spans="2:8" s="65" customFormat="1" ht="20.100000000000001" customHeight="1" x14ac:dyDescent="0.25">
      <c r="B1262" s="409"/>
      <c r="C1262" s="326"/>
      <c r="D1262" s="156" t="s">
        <v>925</v>
      </c>
      <c r="E1262" s="339" t="s">
        <v>24</v>
      </c>
      <c r="F1262" s="506">
        <v>4</v>
      </c>
      <c r="G1262" s="507"/>
      <c r="H1262" s="392">
        <f t="shared" ref="H1262:H1263" si="69">F1262</f>
        <v>4</v>
      </c>
    </row>
    <row r="1263" spans="2:8" s="65" customFormat="1" ht="20.100000000000001" customHeight="1" x14ac:dyDescent="0.25">
      <c r="B1263" s="409"/>
      <c r="C1263" s="326"/>
      <c r="D1263" s="156" t="s">
        <v>924</v>
      </c>
      <c r="E1263" s="339" t="s">
        <v>24</v>
      </c>
      <c r="F1263" s="506">
        <v>4</v>
      </c>
      <c r="G1263" s="507"/>
      <c r="H1263" s="392">
        <f t="shared" si="69"/>
        <v>4</v>
      </c>
    </row>
    <row r="1264" spans="2:8" s="65" customFormat="1" ht="20.100000000000001" customHeight="1" x14ac:dyDescent="0.25">
      <c r="B1264" s="409"/>
      <c r="C1264" s="326"/>
      <c r="D1264" s="161" t="s">
        <v>785</v>
      </c>
      <c r="E1264" s="339" t="s">
        <v>24</v>
      </c>
      <c r="F1264" s="235">
        <f>3.3*2+6.2</f>
        <v>12.8</v>
      </c>
      <c r="G1264" s="235">
        <v>3</v>
      </c>
      <c r="H1264" s="392">
        <f>G1264*F1264</f>
        <v>38.400000000000006</v>
      </c>
    </row>
    <row r="1265" spans="1:8" s="65" customFormat="1" ht="20.100000000000001" customHeight="1" x14ac:dyDescent="0.25">
      <c r="B1265" s="409"/>
      <c r="C1265" s="326"/>
      <c r="D1265" s="161" t="s">
        <v>786</v>
      </c>
      <c r="E1265" s="339" t="s">
        <v>24</v>
      </c>
      <c r="F1265" s="235">
        <v>1.8</v>
      </c>
      <c r="G1265" s="235">
        <v>1.4</v>
      </c>
      <c r="H1265" s="392">
        <f>-G1265*F1265</f>
        <v>-2.52</v>
      </c>
    </row>
    <row r="1266" spans="1:8" s="65" customFormat="1" ht="20.100000000000001" customHeight="1" x14ac:dyDescent="0.25">
      <c r="B1266" s="409"/>
      <c r="C1266" s="326"/>
      <c r="D1266" s="161" t="s">
        <v>787</v>
      </c>
      <c r="E1266" s="339" t="s">
        <v>24</v>
      </c>
      <c r="F1266" s="235">
        <v>1.9</v>
      </c>
      <c r="G1266" s="235">
        <v>0.75</v>
      </c>
      <c r="H1266" s="392">
        <f>-G1266*F1266</f>
        <v>-1.4249999999999998</v>
      </c>
    </row>
    <row r="1267" spans="1:8" s="65" customFormat="1" ht="20.100000000000001" customHeight="1" x14ac:dyDescent="0.25">
      <c r="B1267" s="409"/>
      <c r="C1267" s="326"/>
      <c r="D1267" s="161" t="s">
        <v>798</v>
      </c>
      <c r="E1267" s="339" t="s">
        <v>24</v>
      </c>
      <c r="F1267" s="235">
        <v>1</v>
      </c>
      <c r="G1267" s="235">
        <v>2.1</v>
      </c>
      <c r="H1267" s="392">
        <f>-G1267*F1267</f>
        <v>-2.1</v>
      </c>
    </row>
    <row r="1268" spans="1:8" s="65" customFormat="1" ht="20.100000000000001" customHeight="1" x14ac:dyDescent="0.25">
      <c r="B1268" s="409"/>
      <c r="C1268" s="326"/>
      <c r="D1268" s="61" t="s">
        <v>801</v>
      </c>
      <c r="E1268" s="340" t="s">
        <v>24</v>
      </c>
      <c r="F1268" s="331">
        <f>0.765+2.5+6.2</f>
        <v>9.4649999999999999</v>
      </c>
      <c r="G1268" s="338">
        <v>3</v>
      </c>
      <c r="H1268" s="385">
        <f>G1268*F1268</f>
        <v>28.395</v>
      </c>
    </row>
    <row r="1269" spans="1:8" s="65" customFormat="1" ht="20.100000000000001" customHeight="1" x14ac:dyDescent="0.25">
      <c r="B1269" s="409"/>
      <c r="C1269" s="326"/>
      <c r="D1269" s="61" t="s">
        <v>773</v>
      </c>
      <c r="E1269" s="340" t="s">
        <v>24</v>
      </c>
      <c r="F1269" s="331">
        <v>1</v>
      </c>
      <c r="G1269" s="338">
        <v>2.1</v>
      </c>
      <c r="H1269" s="385">
        <f>-G1269*F1269</f>
        <v>-2.1</v>
      </c>
    </row>
    <row r="1270" spans="1:8" s="65" customFormat="1" ht="20.100000000000001" customHeight="1" x14ac:dyDescent="0.25">
      <c r="B1270" s="409"/>
      <c r="C1270" s="326"/>
      <c r="D1270" s="61" t="s">
        <v>804</v>
      </c>
      <c r="E1270" s="340" t="s">
        <v>24</v>
      </c>
      <c r="F1270" s="331">
        <f>2.5+0.75+1</f>
        <v>4.25</v>
      </c>
      <c r="G1270" s="338">
        <v>3</v>
      </c>
      <c r="H1270" s="385">
        <f>G1270*F1270</f>
        <v>12.75</v>
      </c>
    </row>
    <row r="1271" spans="1:8" s="65" customFormat="1" ht="20.100000000000001" customHeight="1" x14ac:dyDescent="0.25">
      <c r="B1271" s="409"/>
      <c r="C1271" s="326"/>
      <c r="D1271" s="61" t="s">
        <v>810</v>
      </c>
      <c r="E1271" s="340" t="s">
        <v>24</v>
      </c>
      <c r="F1271" s="331">
        <f>1+3.5+1.1</f>
        <v>5.6</v>
      </c>
      <c r="G1271" s="338">
        <v>3</v>
      </c>
      <c r="H1271" s="385">
        <f>G1271*F1271</f>
        <v>16.799999999999997</v>
      </c>
    </row>
    <row r="1272" spans="1:8" s="65" customFormat="1" ht="20.100000000000001" customHeight="1" x14ac:dyDescent="0.25">
      <c r="B1272" s="409"/>
      <c r="C1272" s="326"/>
      <c r="D1272" s="161" t="s">
        <v>812</v>
      </c>
      <c r="E1272" s="339" t="s">
        <v>24</v>
      </c>
      <c r="F1272" s="235">
        <v>2.5</v>
      </c>
      <c r="G1272" s="235">
        <v>1.4</v>
      </c>
      <c r="H1272" s="392">
        <f>-G1272*F1272</f>
        <v>-3.5</v>
      </c>
    </row>
    <row r="1273" spans="1:8" s="137" customFormat="1" ht="20.100000000000001" customHeight="1" x14ac:dyDescent="0.25">
      <c r="A1273" s="65"/>
      <c r="B1273" s="409"/>
      <c r="C1273" s="326"/>
      <c r="D1273" s="161" t="s">
        <v>818</v>
      </c>
      <c r="E1273" s="340" t="s">
        <v>24</v>
      </c>
      <c r="F1273" s="235">
        <f>1.325</f>
        <v>1.325</v>
      </c>
      <c r="G1273" s="235">
        <v>3</v>
      </c>
      <c r="H1273" s="392">
        <f>G1273*F1273</f>
        <v>3.9749999999999996</v>
      </c>
    </row>
    <row r="1274" spans="1:8" s="137" customFormat="1" ht="20.100000000000001" customHeight="1" x14ac:dyDescent="0.25">
      <c r="A1274" s="65"/>
      <c r="B1274" s="409"/>
      <c r="C1274" s="326"/>
      <c r="D1274" s="161" t="s">
        <v>1278</v>
      </c>
      <c r="E1274" s="340" t="s">
        <v>24</v>
      </c>
      <c r="F1274" s="235">
        <v>0.6</v>
      </c>
      <c r="G1274" s="235">
        <v>1.1000000000000001</v>
      </c>
      <c r="H1274" s="392">
        <f>-G1274*F1274</f>
        <v>-0.66</v>
      </c>
    </row>
    <row r="1275" spans="1:8" s="137" customFormat="1" ht="20.100000000000001" customHeight="1" x14ac:dyDescent="0.25">
      <c r="A1275" s="65"/>
      <c r="B1275" s="409"/>
      <c r="C1275" s="326"/>
      <c r="D1275" s="161" t="s">
        <v>874</v>
      </c>
      <c r="E1275" s="340" t="s">
        <v>24</v>
      </c>
      <c r="F1275" s="235">
        <v>0.8</v>
      </c>
      <c r="G1275" s="235">
        <v>2.1</v>
      </c>
      <c r="H1275" s="392">
        <f>-G1275*F1275</f>
        <v>-1.6800000000000002</v>
      </c>
    </row>
    <row r="1276" spans="1:8" s="137" customFormat="1" ht="20.100000000000001" customHeight="1" x14ac:dyDescent="0.25">
      <c r="B1276" s="409"/>
      <c r="C1276" s="326"/>
      <c r="D1276" s="161" t="s">
        <v>819</v>
      </c>
      <c r="E1276" s="340" t="s">
        <v>24</v>
      </c>
      <c r="F1276" s="235">
        <v>1.33</v>
      </c>
      <c r="G1276" s="235">
        <v>3</v>
      </c>
      <c r="H1276" s="392">
        <f>G1276*F1276</f>
        <v>3.99</v>
      </c>
    </row>
    <row r="1277" spans="1:8" s="137" customFormat="1" ht="20.100000000000001" customHeight="1" x14ac:dyDescent="0.25">
      <c r="B1277" s="409"/>
      <c r="C1277" s="326"/>
      <c r="D1277" s="161" t="s">
        <v>1279</v>
      </c>
      <c r="E1277" s="340" t="s">
        <v>24</v>
      </c>
      <c r="F1277" s="235">
        <v>0.6</v>
      </c>
      <c r="G1277" s="235">
        <v>1.1000000000000001</v>
      </c>
      <c r="H1277" s="392">
        <f>-G1277*F1277</f>
        <v>-0.66</v>
      </c>
    </row>
    <row r="1278" spans="1:8" s="137" customFormat="1" ht="20.100000000000001" customHeight="1" x14ac:dyDescent="0.25">
      <c r="B1278" s="409"/>
      <c r="C1278" s="326"/>
      <c r="D1278" s="161" t="s">
        <v>844</v>
      </c>
      <c r="E1278" s="340" t="s">
        <v>24</v>
      </c>
      <c r="F1278" s="235">
        <v>0.8</v>
      </c>
      <c r="G1278" s="235">
        <v>2.1</v>
      </c>
      <c r="H1278" s="392">
        <f>-G1278*F1278</f>
        <v>-1.6800000000000002</v>
      </c>
    </row>
    <row r="1279" spans="1:8" s="137" customFormat="1" ht="20.100000000000001" customHeight="1" x14ac:dyDescent="0.25">
      <c r="B1279" s="409"/>
      <c r="C1279" s="326"/>
      <c r="D1279" s="64" t="s">
        <v>1036</v>
      </c>
      <c r="E1279" s="340" t="s">
        <v>24</v>
      </c>
      <c r="F1279" s="340">
        <f>8.25+7.2+8.25+7.2</f>
        <v>30.9</v>
      </c>
      <c r="G1279" s="66">
        <v>1.5</v>
      </c>
      <c r="H1279" s="418">
        <f>F1279*G1279*2</f>
        <v>92.699999999999989</v>
      </c>
    </row>
    <row r="1280" spans="1:8" s="137" customFormat="1" ht="20.100000000000001" customHeight="1" x14ac:dyDescent="0.25">
      <c r="B1280" s="409"/>
      <c r="C1280" s="326"/>
      <c r="D1280" s="64" t="s">
        <v>1062</v>
      </c>
      <c r="E1280" s="340" t="s">
        <v>24</v>
      </c>
      <c r="F1280" s="566">
        <v>60</v>
      </c>
      <c r="G1280" s="567"/>
      <c r="H1280" s="407">
        <f>F1280</f>
        <v>60</v>
      </c>
    </row>
    <row r="1281" spans="2:8" s="137" customFormat="1" ht="20.100000000000001" customHeight="1" x14ac:dyDescent="0.25">
      <c r="B1281" s="419"/>
      <c r="C1281" s="325"/>
      <c r="D1281" s="157" t="s">
        <v>973</v>
      </c>
      <c r="E1281" s="158" t="s">
        <v>24</v>
      </c>
      <c r="F1281" s="159" t="s">
        <v>26</v>
      </c>
      <c r="G1281" s="159" t="s">
        <v>31</v>
      </c>
      <c r="H1281" s="397">
        <f>SUM(H1282:H1284)</f>
        <v>135.9</v>
      </c>
    </row>
    <row r="1282" spans="2:8" s="137" customFormat="1" ht="20.100000000000001" customHeight="1" x14ac:dyDescent="0.25">
      <c r="B1282" s="414"/>
      <c r="C1282" s="324"/>
      <c r="D1282" s="83" t="s">
        <v>1275</v>
      </c>
      <c r="E1282" s="340" t="s">
        <v>24</v>
      </c>
      <c r="F1282" s="331">
        <v>51.7</v>
      </c>
      <c r="G1282" s="331">
        <v>0.6</v>
      </c>
      <c r="H1282" s="402">
        <f>F1282*G1282*2</f>
        <v>62.04</v>
      </c>
    </row>
    <row r="1283" spans="2:8" s="137" customFormat="1" ht="20.100000000000001" customHeight="1" x14ac:dyDescent="0.25">
      <c r="B1283" s="409"/>
      <c r="C1283" s="326"/>
      <c r="D1283" s="83" t="s">
        <v>1276</v>
      </c>
      <c r="E1283" s="340" t="s">
        <v>24</v>
      </c>
      <c r="F1283" s="331">
        <f>4.35+5.5</f>
        <v>9.85</v>
      </c>
      <c r="G1283" s="331">
        <v>0.6</v>
      </c>
      <c r="H1283" s="402">
        <f>F1283*G1283*2</f>
        <v>11.819999999999999</v>
      </c>
    </row>
    <row r="1284" spans="2:8" s="137" customFormat="1" ht="20.100000000000001" customHeight="1" x14ac:dyDescent="0.25">
      <c r="B1284" s="419"/>
      <c r="C1284" s="325"/>
      <c r="D1284" s="83" t="s">
        <v>1277</v>
      </c>
      <c r="E1284" s="340" t="s">
        <v>24</v>
      </c>
      <c r="F1284" s="331">
        <v>51.7</v>
      </c>
      <c r="G1284" s="331">
        <v>0.6</v>
      </c>
      <c r="H1284" s="402">
        <f>F1284*G1284*2</f>
        <v>62.04</v>
      </c>
    </row>
    <row r="1285" spans="2:8" s="137" customFormat="1" ht="20.100000000000001" customHeight="1" x14ac:dyDescent="0.25">
      <c r="B1285" s="386" t="s">
        <v>984</v>
      </c>
      <c r="C1285" s="163">
        <v>200403</v>
      </c>
      <c r="D1285" s="153" t="s">
        <v>799</v>
      </c>
      <c r="E1285" s="162" t="s">
        <v>24</v>
      </c>
      <c r="F1285" s="330" t="s">
        <v>26</v>
      </c>
      <c r="G1285" s="330" t="s">
        <v>31</v>
      </c>
      <c r="H1285" s="387">
        <f>SUM(H1286:H1293)</f>
        <v>340.94499999999999</v>
      </c>
    </row>
    <row r="1286" spans="2:8" s="137" customFormat="1" ht="20.100000000000001" customHeight="1" x14ac:dyDescent="0.25">
      <c r="B1286" s="415"/>
      <c r="C1286" s="160"/>
      <c r="D1286" s="61" t="s">
        <v>801</v>
      </c>
      <c r="E1286" s="340" t="s">
        <v>24</v>
      </c>
      <c r="F1286" s="331">
        <f>0.765+2.5+6.2</f>
        <v>9.4649999999999999</v>
      </c>
      <c r="G1286" s="338">
        <v>3</v>
      </c>
      <c r="H1286" s="385">
        <f>G1286*F1286</f>
        <v>28.395</v>
      </c>
    </row>
    <row r="1287" spans="2:8" s="137" customFormat="1" ht="20.100000000000001" customHeight="1" x14ac:dyDescent="0.25">
      <c r="B1287" s="415"/>
      <c r="C1287" s="160"/>
      <c r="D1287" s="61" t="s">
        <v>773</v>
      </c>
      <c r="E1287" s="340" t="s">
        <v>24</v>
      </c>
      <c r="F1287" s="331">
        <v>1</v>
      </c>
      <c r="G1287" s="338">
        <v>2.1</v>
      </c>
      <c r="H1287" s="385">
        <f>-G1287*F1287</f>
        <v>-2.1</v>
      </c>
    </row>
    <row r="1288" spans="2:8" s="137" customFormat="1" ht="20.100000000000001" customHeight="1" x14ac:dyDescent="0.25">
      <c r="B1288" s="415"/>
      <c r="C1288" s="160"/>
      <c r="D1288" s="61" t="s">
        <v>804</v>
      </c>
      <c r="E1288" s="340" t="s">
        <v>24</v>
      </c>
      <c r="F1288" s="331">
        <f>2.5+0.75+1</f>
        <v>4.25</v>
      </c>
      <c r="G1288" s="338">
        <v>3</v>
      </c>
      <c r="H1288" s="385">
        <f>G1288*F1288</f>
        <v>12.75</v>
      </c>
    </row>
    <row r="1289" spans="2:8" s="137" customFormat="1" ht="20.100000000000001" customHeight="1" x14ac:dyDescent="0.25">
      <c r="B1289" s="415"/>
      <c r="C1289" s="160"/>
      <c r="D1289" s="61" t="s">
        <v>810</v>
      </c>
      <c r="E1289" s="340" t="s">
        <v>24</v>
      </c>
      <c r="F1289" s="331">
        <f>1+3.5+1.1</f>
        <v>5.6</v>
      </c>
      <c r="G1289" s="338">
        <v>3</v>
      </c>
      <c r="H1289" s="385">
        <f>G1289*F1289</f>
        <v>16.799999999999997</v>
      </c>
    </row>
    <row r="1290" spans="2:8" s="137" customFormat="1" ht="20.100000000000001" customHeight="1" x14ac:dyDescent="0.25">
      <c r="B1290" s="415"/>
      <c r="C1290" s="160"/>
      <c r="D1290" s="161" t="s">
        <v>812</v>
      </c>
      <c r="E1290" s="339" t="s">
        <v>24</v>
      </c>
      <c r="F1290" s="235">
        <v>2.5</v>
      </c>
      <c r="G1290" s="235">
        <v>1.4</v>
      </c>
      <c r="H1290" s="392">
        <f>-G1290*F1290</f>
        <v>-3.5</v>
      </c>
    </row>
    <row r="1291" spans="2:8" s="137" customFormat="1" ht="20.100000000000001" customHeight="1" x14ac:dyDescent="0.25">
      <c r="B1291" s="415"/>
      <c r="C1291" s="160"/>
      <c r="D1291" s="87" t="s">
        <v>1036</v>
      </c>
      <c r="E1291" s="339" t="s">
        <v>24</v>
      </c>
      <c r="F1291" s="340">
        <f>8.25+7.2+8.25+7.2</f>
        <v>30.9</v>
      </c>
      <c r="G1291" s="66">
        <v>1.5</v>
      </c>
      <c r="H1291" s="407">
        <f>F1291*G1291*2</f>
        <v>92.699999999999989</v>
      </c>
    </row>
    <row r="1292" spans="2:8" s="137" customFormat="1" ht="20.100000000000001" customHeight="1" x14ac:dyDescent="0.25">
      <c r="B1292" s="415"/>
      <c r="C1292" s="160"/>
      <c r="D1292" s="64" t="s">
        <v>1062</v>
      </c>
      <c r="E1292" s="340" t="s">
        <v>24</v>
      </c>
      <c r="F1292" s="566">
        <v>60</v>
      </c>
      <c r="G1292" s="567"/>
      <c r="H1292" s="407">
        <f>F1292</f>
        <v>60</v>
      </c>
    </row>
    <row r="1293" spans="2:8" s="137" customFormat="1" ht="20.100000000000001" customHeight="1" x14ac:dyDescent="0.25">
      <c r="B1293" s="415"/>
      <c r="C1293" s="160"/>
      <c r="D1293" s="157" t="s">
        <v>973</v>
      </c>
      <c r="E1293" s="158" t="s">
        <v>24</v>
      </c>
      <c r="F1293" s="159" t="s">
        <v>26</v>
      </c>
      <c r="G1293" s="159" t="s">
        <v>31</v>
      </c>
      <c r="H1293" s="397">
        <f>SUM(H1294:H1296)</f>
        <v>135.9</v>
      </c>
    </row>
    <row r="1294" spans="2:8" s="137" customFormat="1" ht="20.100000000000001" customHeight="1" x14ac:dyDescent="0.25">
      <c r="B1294" s="415"/>
      <c r="C1294" s="160"/>
      <c r="D1294" s="83" t="s">
        <v>1275</v>
      </c>
      <c r="E1294" s="339" t="s">
        <v>24</v>
      </c>
      <c r="F1294" s="331">
        <v>51.7</v>
      </c>
      <c r="G1294" s="331">
        <v>0.6</v>
      </c>
      <c r="H1294" s="402">
        <f>F1294*G1294*2</f>
        <v>62.04</v>
      </c>
    </row>
    <row r="1295" spans="2:8" s="137" customFormat="1" ht="20.100000000000001" customHeight="1" x14ac:dyDescent="0.25">
      <c r="B1295" s="415"/>
      <c r="C1295" s="160"/>
      <c r="D1295" s="83" t="s">
        <v>1276</v>
      </c>
      <c r="E1295" s="339" t="s">
        <v>24</v>
      </c>
      <c r="F1295" s="331">
        <f>4.35+5.5</f>
        <v>9.85</v>
      </c>
      <c r="G1295" s="331">
        <v>0.6</v>
      </c>
      <c r="H1295" s="402">
        <f>F1295*G1295*2</f>
        <v>11.819999999999999</v>
      </c>
    </row>
    <row r="1296" spans="2:8" s="137" customFormat="1" ht="20.100000000000001" customHeight="1" x14ac:dyDescent="0.25">
      <c r="B1296" s="415"/>
      <c r="C1296" s="160"/>
      <c r="D1296" s="83" t="s">
        <v>1277</v>
      </c>
      <c r="E1296" s="339" t="s">
        <v>24</v>
      </c>
      <c r="F1296" s="331">
        <v>51.7</v>
      </c>
      <c r="G1296" s="331">
        <v>0.6</v>
      </c>
      <c r="H1296" s="402">
        <f>F1296*G1296*2</f>
        <v>62.04</v>
      </c>
    </row>
    <row r="1297" spans="1:8" s="137" customFormat="1" ht="39.75" customHeight="1" x14ac:dyDescent="0.25">
      <c r="B1297" s="386" t="s">
        <v>1179</v>
      </c>
      <c r="C1297" s="163">
        <v>201410</v>
      </c>
      <c r="D1297" s="80" t="s">
        <v>1180</v>
      </c>
      <c r="E1297" s="162" t="s">
        <v>24</v>
      </c>
      <c r="F1297" s="330" t="s">
        <v>26</v>
      </c>
      <c r="G1297" s="330" t="s">
        <v>27</v>
      </c>
      <c r="H1297" s="387">
        <f>SUM(H1298)</f>
        <v>9.3375000000000004</v>
      </c>
    </row>
    <row r="1298" spans="1:8" s="137" customFormat="1" ht="20.100000000000001" customHeight="1" x14ac:dyDescent="0.25">
      <c r="B1298" s="469"/>
      <c r="C1298" s="470"/>
      <c r="D1298" s="240" t="s">
        <v>1181</v>
      </c>
      <c r="E1298" s="339" t="s">
        <v>24</v>
      </c>
      <c r="F1298" s="334">
        <v>37.35</v>
      </c>
      <c r="G1298" s="331">
        <v>0.25</v>
      </c>
      <c r="H1298" s="402">
        <f>G1298*F1298</f>
        <v>9.3375000000000004</v>
      </c>
    </row>
    <row r="1299" spans="1:8" s="137" customFormat="1" ht="20.100000000000001" customHeight="1" x14ac:dyDescent="0.25">
      <c r="B1299" s="562" t="s">
        <v>385</v>
      </c>
      <c r="C1299" s="545"/>
      <c r="D1299" s="545"/>
      <c r="E1299" s="545"/>
      <c r="F1299" s="545"/>
      <c r="G1299" s="545"/>
      <c r="H1299" s="563"/>
    </row>
    <row r="1300" spans="1:8" s="137" customFormat="1" ht="20.100000000000001" customHeight="1" x14ac:dyDescent="0.25">
      <c r="B1300" s="420">
        <v>16</v>
      </c>
      <c r="C1300" s="180">
        <v>210000</v>
      </c>
      <c r="D1300" s="544" t="s">
        <v>75</v>
      </c>
      <c r="E1300" s="545"/>
      <c r="F1300" s="545"/>
      <c r="G1300" s="546"/>
      <c r="H1300" s="421" t="s">
        <v>755</v>
      </c>
    </row>
    <row r="1301" spans="1:8" s="65" customFormat="1" ht="20.100000000000001" customHeight="1" x14ac:dyDescent="0.25">
      <c r="A1301" s="137"/>
      <c r="B1301" s="386" t="s">
        <v>76</v>
      </c>
      <c r="C1301" s="163">
        <v>210498</v>
      </c>
      <c r="D1301" s="153" t="s">
        <v>322</v>
      </c>
      <c r="E1301" s="330" t="s">
        <v>24</v>
      </c>
      <c r="F1301" s="330" t="s">
        <v>26</v>
      </c>
      <c r="G1301" s="330" t="s">
        <v>27</v>
      </c>
      <c r="H1301" s="387">
        <f>SUM(H1302:H1309)</f>
        <v>324.91874999999999</v>
      </c>
    </row>
    <row r="1302" spans="1:8" s="65" customFormat="1" ht="20.100000000000001" customHeight="1" x14ac:dyDescent="0.25">
      <c r="A1302" s="137"/>
      <c r="B1302" s="465"/>
      <c r="C1302" s="466"/>
      <c r="D1302" s="62" t="s">
        <v>128</v>
      </c>
      <c r="E1302" s="66" t="s">
        <v>24</v>
      </c>
      <c r="F1302" s="331">
        <v>8.1</v>
      </c>
      <c r="G1302" s="331">
        <v>6.09</v>
      </c>
      <c r="H1302" s="402">
        <f t="shared" ref="H1302:H1309" si="70">G1302*F1302</f>
        <v>49.328999999999994</v>
      </c>
    </row>
    <row r="1303" spans="1:8" s="65" customFormat="1" ht="20.100000000000001" customHeight="1" x14ac:dyDescent="0.25">
      <c r="A1303" s="137"/>
      <c r="B1303" s="473"/>
      <c r="C1303" s="474"/>
      <c r="D1303" s="62" t="s">
        <v>129</v>
      </c>
      <c r="E1303" s="66" t="s">
        <v>24</v>
      </c>
      <c r="F1303" s="331">
        <v>6.27</v>
      </c>
      <c r="G1303" s="331">
        <v>6.09</v>
      </c>
      <c r="H1303" s="402">
        <f t="shared" si="70"/>
        <v>38.184299999999993</v>
      </c>
    </row>
    <row r="1304" spans="1:8" s="65" customFormat="1" ht="20.100000000000001" customHeight="1" x14ac:dyDescent="0.25">
      <c r="B1304" s="473"/>
      <c r="C1304" s="474"/>
      <c r="D1304" s="63" t="s">
        <v>180</v>
      </c>
      <c r="E1304" s="66" t="s">
        <v>24</v>
      </c>
      <c r="F1304" s="331">
        <v>6.3449999999999998</v>
      </c>
      <c r="G1304" s="331">
        <v>6.09</v>
      </c>
      <c r="H1304" s="402">
        <f t="shared" si="70"/>
        <v>38.64105</v>
      </c>
    </row>
    <row r="1305" spans="1:8" s="65" customFormat="1" ht="20.100000000000001" customHeight="1" x14ac:dyDescent="0.25">
      <c r="B1305" s="473"/>
      <c r="C1305" s="474"/>
      <c r="D1305" s="62" t="s">
        <v>131</v>
      </c>
      <c r="E1305" s="66" t="s">
        <v>24</v>
      </c>
      <c r="F1305" s="331">
        <v>6.3449999999999998</v>
      </c>
      <c r="G1305" s="331">
        <v>6.09</v>
      </c>
      <c r="H1305" s="402">
        <f t="shared" si="70"/>
        <v>38.64105</v>
      </c>
    </row>
    <row r="1306" spans="1:8" s="65" customFormat="1" ht="20.100000000000001" customHeight="1" x14ac:dyDescent="0.25">
      <c r="B1306" s="473"/>
      <c r="C1306" s="474"/>
      <c r="D1306" s="62" t="s">
        <v>190</v>
      </c>
      <c r="E1306" s="66" t="s">
        <v>24</v>
      </c>
      <c r="F1306" s="331">
        <v>6</v>
      </c>
      <c r="G1306" s="331">
        <v>7.4</v>
      </c>
      <c r="H1306" s="402">
        <f t="shared" si="70"/>
        <v>44.400000000000006</v>
      </c>
    </row>
    <row r="1307" spans="1:8" s="65" customFormat="1" ht="20.100000000000001" customHeight="1" x14ac:dyDescent="0.25">
      <c r="B1307" s="473"/>
      <c r="C1307" s="474"/>
      <c r="D1307" s="62" t="s">
        <v>206</v>
      </c>
      <c r="E1307" s="66" t="s">
        <v>24</v>
      </c>
      <c r="F1307" s="331">
        <v>6</v>
      </c>
      <c r="G1307" s="331">
        <v>14.75</v>
      </c>
      <c r="H1307" s="402">
        <f t="shared" si="70"/>
        <v>88.5</v>
      </c>
    </row>
    <row r="1308" spans="1:8" s="65" customFormat="1" ht="20.100000000000001" customHeight="1" x14ac:dyDescent="0.25">
      <c r="B1308" s="473"/>
      <c r="C1308" s="474"/>
      <c r="D1308" s="155" t="s">
        <v>137</v>
      </c>
      <c r="E1308" s="66" t="s">
        <v>24</v>
      </c>
      <c r="F1308" s="331">
        <v>4.0149999999999997</v>
      </c>
      <c r="G1308" s="331">
        <v>6.09</v>
      </c>
      <c r="H1308" s="402">
        <f t="shared" si="70"/>
        <v>24.451349999999998</v>
      </c>
    </row>
    <row r="1309" spans="1:8" s="65" customFormat="1" ht="20.100000000000001" customHeight="1" x14ac:dyDescent="0.25">
      <c r="B1309" s="467"/>
      <c r="C1309" s="468"/>
      <c r="D1309" s="155" t="s">
        <v>757</v>
      </c>
      <c r="E1309" s="66" t="s">
        <v>24</v>
      </c>
      <c r="F1309" s="331">
        <v>2.2000000000000002</v>
      </c>
      <c r="G1309" s="331">
        <v>1.26</v>
      </c>
      <c r="H1309" s="402">
        <f t="shared" si="70"/>
        <v>2.7720000000000002</v>
      </c>
    </row>
    <row r="1310" spans="1:8" s="65" customFormat="1" ht="20.100000000000001" customHeight="1" x14ac:dyDescent="0.25">
      <c r="B1310" s="386" t="s">
        <v>108</v>
      </c>
      <c r="C1310" s="163">
        <v>210499</v>
      </c>
      <c r="D1310" s="153" t="s">
        <v>323</v>
      </c>
      <c r="E1310" s="330" t="s">
        <v>24</v>
      </c>
      <c r="F1310" s="330" t="s">
        <v>26</v>
      </c>
      <c r="G1310" s="330" t="s">
        <v>27</v>
      </c>
      <c r="H1310" s="387">
        <f>SUM(H1311:H1314)</f>
        <v>79.056700000000006</v>
      </c>
    </row>
    <row r="1311" spans="1:8" s="65" customFormat="1" ht="20.100000000000001" customHeight="1" x14ac:dyDescent="0.25">
      <c r="B1311" s="447"/>
      <c r="C1311" s="448"/>
      <c r="D1311" s="62" t="s">
        <v>203</v>
      </c>
      <c r="E1311" s="66" t="s">
        <v>24</v>
      </c>
      <c r="F1311" s="331">
        <v>3.33</v>
      </c>
      <c r="G1311" s="331">
        <v>6.09</v>
      </c>
      <c r="H1311" s="402">
        <f>G1311*F1311</f>
        <v>20.279699999999998</v>
      </c>
    </row>
    <row r="1312" spans="1:8" s="65" customFormat="1" ht="20.100000000000001" customHeight="1" x14ac:dyDescent="0.25">
      <c r="B1312" s="447"/>
      <c r="C1312" s="448"/>
      <c r="D1312" s="63" t="s">
        <v>202</v>
      </c>
      <c r="E1312" s="66" t="s">
        <v>24</v>
      </c>
      <c r="F1312" s="331">
        <v>3.3</v>
      </c>
      <c r="G1312" s="331">
        <v>6.09</v>
      </c>
      <c r="H1312" s="402">
        <f>G1312*F1312</f>
        <v>20.096999999999998</v>
      </c>
    </row>
    <row r="1313" spans="2:8" s="65" customFormat="1" ht="20.100000000000001" customHeight="1" x14ac:dyDescent="0.25">
      <c r="B1313" s="447"/>
      <c r="C1313" s="448"/>
      <c r="D1313" s="61" t="s">
        <v>193</v>
      </c>
      <c r="E1313" s="340" t="s">
        <v>24</v>
      </c>
      <c r="F1313" s="331">
        <v>4</v>
      </c>
      <c r="G1313" s="331">
        <v>4.835</v>
      </c>
      <c r="H1313" s="385">
        <f>G1313*F1313</f>
        <v>19.34</v>
      </c>
    </row>
    <row r="1314" spans="2:8" s="65" customFormat="1" ht="20.100000000000001" customHeight="1" x14ac:dyDescent="0.25">
      <c r="B1314" s="447"/>
      <c r="C1314" s="448"/>
      <c r="D1314" s="61" t="s">
        <v>325</v>
      </c>
      <c r="E1314" s="340" t="s">
        <v>24</v>
      </c>
      <c r="F1314" s="331">
        <v>4</v>
      </c>
      <c r="G1314" s="331">
        <v>4.835</v>
      </c>
      <c r="H1314" s="385">
        <f>G1314*F1314</f>
        <v>19.34</v>
      </c>
    </row>
    <row r="1315" spans="2:8" s="65" customFormat="1" ht="20.100000000000001" customHeight="1" x14ac:dyDescent="0.25">
      <c r="B1315" s="386" t="s">
        <v>208</v>
      </c>
      <c r="C1315" s="163">
        <v>210505</v>
      </c>
      <c r="D1315" s="153" t="s">
        <v>324</v>
      </c>
      <c r="E1315" s="330" t="s">
        <v>29</v>
      </c>
      <c r="F1315" s="455" t="s">
        <v>26</v>
      </c>
      <c r="G1315" s="455"/>
      <c r="H1315" s="387">
        <f>SUM(H1316:H1327)</f>
        <v>406.78000000000003</v>
      </c>
    </row>
    <row r="1316" spans="2:8" s="65" customFormat="1" ht="20.100000000000001" customHeight="1" x14ac:dyDescent="0.25">
      <c r="B1316" s="422"/>
      <c r="C1316" s="287"/>
      <c r="D1316" s="62" t="s">
        <v>128</v>
      </c>
      <c r="E1316" s="66" t="s">
        <v>29</v>
      </c>
      <c r="F1316" s="446">
        <f>8.1+6.09</f>
        <v>14.19</v>
      </c>
      <c r="G1316" s="446"/>
      <c r="H1316" s="402">
        <f>2*F1316</f>
        <v>28.38</v>
      </c>
    </row>
    <row r="1317" spans="2:8" s="65" customFormat="1" ht="20.100000000000001" customHeight="1" x14ac:dyDescent="0.25">
      <c r="B1317" s="423"/>
      <c r="C1317" s="288"/>
      <c r="D1317" s="62" t="s">
        <v>129</v>
      </c>
      <c r="E1317" s="66" t="s">
        <v>29</v>
      </c>
      <c r="F1317" s="446">
        <f>6.27+6.09</f>
        <v>12.36</v>
      </c>
      <c r="G1317" s="446"/>
      <c r="H1317" s="402">
        <f t="shared" ref="H1317:H1326" si="71">2*F1317</f>
        <v>24.72</v>
      </c>
    </row>
    <row r="1318" spans="2:8" s="65" customFormat="1" ht="20.100000000000001" customHeight="1" x14ac:dyDescent="0.25">
      <c r="B1318" s="423"/>
      <c r="C1318" s="288"/>
      <c r="D1318" s="63" t="s">
        <v>180</v>
      </c>
      <c r="E1318" s="66" t="s">
        <v>29</v>
      </c>
      <c r="F1318" s="446">
        <f>6.35+6.09</f>
        <v>12.44</v>
      </c>
      <c r="G1318" s="446"/>
      <c r="H1318" s="402">
        <f t="shared" si="71"/>
        <v>24.88</v>
      </c>
    </row>
    <row r="1319" spans="2:8" s="65" customFormat="1" ht="20.100000000000001" customHeight="1" x14ac:dyDescent="0.25">
      <c r="B1319" s="423"/>
      <c r="C1319" s="288"/>
      <c r="D1319" s="62" t="s">
        <v>131</v>
      </c>
      <c r="E1319" s="66" t="s">
        <v>29</v>
      </c>
      <c r="F1319" s="446">
        <f>6.35+6.09</f>
        <v>12.44</v>
      </c>
      <c r="G1319" s="446"/>
      <c r="H1319" s="402">
        <f t="shared" si="71"/>
        <v>24.88</v>
      </c>
    </row>
    <row r="1320" spans="2:8" s="65" customFormat="1" ht="20.100000000000001" customHeight="1" x14ac:dyDescent="0.25">
      <c r="B1320" s="423"/>
      <c r="C1320" s="288"/>
      <c r="D1320" s="62" t="s">
        <v>190</v>
      </c>
      <c r="E1320" s="66" t="s">
        <v>29</v>
      </c>
      <c r="F1320" s="446">
        <f>6+7.4</f>
        <v>13.4</v>
      </c>
      <c r="G1320" s="446"/>
      <c r="H1320" s="402">
        <f t="shared" si="71"/>
        <v>26.8</v>
      </c>
    </row>
    <row r="1321" spans="2:8" s="65" customFormat="1" ht="20.100000000000001" customHeight="1" x14ac:dyDescent="0.25">
      <c r="B1321" s="423"/>
      <c r="C1321" s="288"/>
      <c r="D1321" s="62" t="s">
        <v>206</v>
      </c>
      <c r="E1321" s="66" t="s">
        <v>29</v>
      </c>
      <c r="F1321" s="446">
        <f>6*14.75</f>
        <v>88.5</v>
      </c>
      <c r="G1321" s="446"/>
      <c r="H1321" s="402">
        <f t="shared" si="71"/>
        <v>177</v>
      </c>
    </row>
    <row r="1322" spans="2:8" s="65" customFormat="1" ht="20.100000000000001" customHeight="1" x14ac:dyDescent="0.25">
      <c r="B1322" s="423"/>
      <c r="C1322" s="288"/>
      <c r="D1322" s="155" t="s">
        <v>137</v>
      </c>
      <c r="E1322" s="66" t="s">
        <v>29</v>
      </c>
      <c r="F1322" s="446">
        <f>4.02+6.09</f>
        <v>10.11</v>
      </c>
      <c r="G1322" s="446"/>
      <c r="H1322" s="402">
        <f t="shared" si="71"/>
        <v>20.22</v>
      </c>
    </row>
    <row r="1323" spans="2:8" s="65" customFormat="1" ht="20.100000000000001" customHeight="1" x14ac:dyDescent="0.25">
      <c r="B1323" s="424"/>
      <c r="C1323" s="289"/>
      <c r="D1323" s="62" t="s">
        <v>203</v>
      </c>
      <c r="E1323" s="66" t="s">
        <v>29</v>
      </c>
      <c r="F1323" s="446">
        <f>3.33+6.09</f>
        <v>9.42</v>
      </c>
      <c r="G1323" s="446"/>
      <c r="H1323" s="402">
        <f t="shared" si="71"/>
        <v>18.84</v>
      </c>
    </row>
    <row r="1324" spans="2:8" s="65" customFormat="1" ht="20.100000000000001" customHeight="1" x14ac:dyDescent="0.25">
      <c r="B1324" s="422"/>
      <c r="C1324" s="287"/>
      <c r="D1324" s="63" t="s">
        <v>202</v>
      </c>
      <c r="E1324" s="66" t="s">
        <v>29</v>
      </c>
      <c r="F1324" s="446">
        <f>3.3+6.09</f>
        <v>9.39</v>
      </c>
      <c r="G1324" s="446"/>
      <c r="H1324" s="402">
        <f t="shared" si="71"/>
        <v>18.78</v>
      </c>
    </row>
    <row r="1325" spans="2:8" s="65" customFormat="1" ht="20.100000000000001" customHeight="1" x14ac:dyDescent="0.25">
      <c r="B1325" s="423"/>
      <c r="C1325" s="288"/>
      <c r="D1325" s="61" t="s">
        <v>193</v>
      </c>
      <c r="E1325" s="66" t="s">
        <v>29</v>
      </c>
      <c r="F1325" s="446">
        <f>4+4.84</f>
        <v>8.84</v>
      </c>
      <c r="G1325" s="446"/>
      <c r="H1325" s="402">
        <f t="shared" si="71"/>
        <v>17.68</v>
      </c>
    </row>
    <row r="1326" spans="2:8" s="65" customFormat="1" ht="20.100000000000001" customHeight="1" x14ac:dyDescent="0.25">
      <c r="B1326" s="423"/>
      <c r="C1326" s="288"/>
      <c r="D1326" s="61" t="s">
        <v>325</v>
      </c>
      <c r="E1326" s="66" t="s">
        <v>29</v>
      </c>
      <c r="F1326" s="446">
        <f>4+4.84</f>
        <v>8.84</v>
      </c>
      <c r="G1326" s="446"/>
      <c r="H1326" s="402">
        <f t="shared" si="71"/>
        <v>17.68</v>
      </c>
    </row>
    <row r="1327" spans="2:8" s="65" customFormat="1" ht="20.100000000000001" customHeight="1" x14ac:dyDescent="0.25">
      <c r="B1327" s="424"/>
      <c r="C1327" s="289"/>
      <c r="D1327" s="155" t="s">
        <v>757</v>
      </c>
      <c r="E1327" s="66" t="s">
        <v>29</v>
      </c>
      <c r="F1327" s="461">
        <f>2.2+2.2+1.26+1.26</f>
        <v>6.92</v>
      </c>
      <c r="G1327" s="462"/>
      <c r="H1327" s="402">
        <f>F1327</f>
        <v>6.92</v>
      </c>
    </row>
    <row r="1328" spans="2:8" s="65" customFormat="1" ht="20.100000000000001" customHeight="1" x14ac:dyDescent="0.25">
      <c r="B1328" s="514" t="s">
        <v>465</v>
      </c>
      <c r="C1328" s="492"/>
      <c r="D1328" s="492"/>
      <c r="E1328" s="492"/>
      <c r="F1328" s="492"/>
      <c r="G1328" s="492"/>
      <c r="H1328" s="538"/>
    </row>
    <row r="1329" spans="2:8" s="65" customFormat="1" ht="20.100000000000001" customHeight="1" x14ac:dyDescent="0.25">
      <c r="B1329" s="377">
        <v>17</v>
      </c>
      <c r="C1329" s="233">
        <v>220000</v>
      </c>
      <c r="D1329" s="491" t="s">
        <v>464</v>
      </c>
      <c r="E1329" s="492"/>
      <c r="F1329" s="492"/>
      <c r="G1329" s="493"/>
      <c r="H1329" s="395" t="s">
        <v>755</v>
      </c>
    </row>
    <row r="1330" spans="2:8" s="65" customFormat="1" ht="20.100000000000001" customHeight="1" x14ac:dyDescent="0.25">
      <c r="B1330" s="386" t="s">
        <v>114</v>
      </c>
      <c r="C1330" s="163">
        <v>220104</v>
      </c>
      <c r="D1330" s="80" t="s">
        <v>207</v>
      </c>
      <c r="E1330" s="162" t="s">
        <v>24</v>
      </c>
      <c r="F1330" s="330" t="s">
        <v>26</v>
      </c>
      <c r="G1330" s="330" t="s">
        <v>27</v>
      </c>
      <c r="H1330" s="387">
        <f>SUM(H1331:H1332)</f>
        <v>150.36000000000001</v>
      </c>
    </row>
    <row r="1331" spans="2:8" s="65" customFormat="1" ht="20.100000000000001" customHeight="1" x14ac:dyDescent="0.25">
      <c r="B1331" s="483"/>
      <c r="C1331" s="484"/>
      <c r="D1331" s="68" t="s">
        <v>263</v>
      </c>
      <c r="E1331" s="339" t="s">
        <v>24</v>
      </c>
      <c r="F1331" s="337">
        <v>52</v>
      </c>
      <c r="G1331" s="337">
        <v>2.85</v>
      </c>
      <c r="H1331" s="391">
        <f>G1331*F1331</f>
        <v>148.20000000000002</v>
      </c>
    </row>
    <row r="1332" spans="2:8" s="65" customFormat="1" ht="20.100000000000001" customHeight="1" x14ac:dyDescent="0.25">
      <c r="B1332" s="483"/>
      <c r="C1332" s="484"/>
      <c r="D1332" s="68" t="s">
        <v>341</v>
      </c>
      <c r="E1332" s="339" t="s">
        <v>24</v>
      </c>
      <c r="F1332" s="337">
        <v>1.2</v>
      </c>
      <c r="G1332" s="337">
        <v>1.8</v>
      </c>
      <c r="H1332" s="391">
        <f>G1332*F1332</f>
        <v>2.16</v>
      </c>
    </row>
    <row r="1333" spans="2:8" s="65" customFormat="1" ht="20.100000000000001" customHeight="1" x14ac:dyDescent="0.25">
      <c r="B1333" s="386" t="s">
        <v>115</v>
      </c>
      <c r="C1333" s="163">
        <v>220102</v>
      </c>
      <c r="D1333" s="80" t="s">
        <v>264</v>
      </c>
      <c r="E1333" s="162" t="s">
        <v>24</v>
      </c>
      <c r="F1333" s="330" t="s">
        <v>26</v>
      </c>
      <c r="G1333" s="330" t="s">
        <v>27</v>
      </c>
      <c r="H1333" s="387">
        <f>SUM(H1334:H1346)</f>
        <v>300.13349999999997</v>
      </c>
    </row>
    <row r="1334" spans="2:8" s="65" customFormat="1" ht="20.100000000000001" customHeight="1" x14ac:dyDescent="0.25">
      <c r="B1334" s="483"/>
      <c r="C1334" s="484"/>
      <c r="D1334" s="68" t="s">
        <v>265</v>
      </c>
      <c r="E1334" s="339" t="s">
        <v>24</v>
      </c>
      <c r="F1334" s="337">
        <v>7.69</v>
      </c>
      <c r="G1334" s="337">
        <v>1.9</v>
      </c>
      <c r="H1334" s="391">
        <f t="shared" ref="H1334:H1345" si="72">G1334*F1334</f>
        <v>14.611000000000001</v>
      </c>
    </row>
    <row r="1335" spans="2:8" s="65" customFormat="1" ht="20.100000000000001" customHeight="1" x14ac:dyDescent="0.25">
      <c r="B1335" s="483"/>
      <c r="C1335" s="484"/>
      <c r="D1335" s="68" t="s">
        <v>266</v>
      </c>
      <c r="E1335" s="339" t="s">
        <v>24</v>
      </c>
      <c r="F1335" s="337">
        <v>27.73</v>
      </c>
      <c r="G1335" s="337">
        <v>6.75</v>
      </c>
      <c r="H1335" s="391">
        <f t="shared" si="72"/>
        <v>187.17750000000001</v>
      </c>
    </row>
    <row r="1336" spans="2:8" s="65" customFormat="1" ht="20.100000000000001" customHeight="1" x14ac:dyDescent="0.25">
      <c r="B1336" s="483"/>
      <c r="C1336" s="484"/>
      <c r="D1336" s="68" t="s">
        <v>267</v>
      </c>
      <c r="E1336" s="339" t="s">
        <v>24</v>
      </c>
      <c r="F1336" s="337">
        <v>7.91</v>
      </c>
      <c r="G1336" s="337">
        <v>3.8</v>
      </c>
      <c r="H1336" s="391">
        <f t="shared" si="72"/>
        <v>30.058</v>
      </c>
    </row>
    <row r="1337" spans="2:8" s="65" customFormat="1" ht="20.100000000000001" customHeight="1" x14ac:dyDescent="0.25">
      <c r="B1337" s="483"/>
      <c r="C1337" s="484"/>
      <c r="D1337" s="68" t="s">
        <v>268</v>
      </c>
      <c r="E1337" s="339" t="s">
        <v>24</v>
      </c>
      <c r="F1337" s="337">
        <v>1.5</v>
      </c>
      <c r="G1337" s="337">
        <v>6.65</v>
      </c>
      <c r="H1337" s="391">
        <f t="shared" si="72"/>
        <v>9.9750000000000014</v>
      </c>
    </row>
    <row r="1338" spans="2:8" s="65" customFormat="1" ht="20.100000000000001" customHeight="1" x14ac:dyDescent="0.25">
      <c r="B1338" s="483"/>
      <c r="C1338" s="484"/>
      <c r="D1338" s="68" t="s">
        <v>269</v>
      </c>
      <c r="E1338" s="339" t="s">
        <v>24</v>
      </c>
      <c r="F1338" s="337">
        <v>1.87</v>
      </c>
      <c r="G1338" s="337">
        <v>1.5</v>
      </c>
      <c r="H1338" s="391">
        <f t="shared" si="72"/>
        <v>2.8050000000000002</v>
      </c>
    </row>
    <row r="1339" spans="2:8" s="65" customFormat="1" ht="20.100000000000001" customHeight="1" x14ac:dyDescent="0.25">
      <c r="B1339" s="483"/>
      <c r="C1339" s="484"/>
      <c r="D1339" s="68" t="s">
        <v>270</v>
      </c>
      <c r="E1339" s="339" t="s">
        <v>24</v>
      </c>
      <c r="F1339" s="337">
        <v>1.5</v>
      </c>
      <c r="G1339" s="337">
        <v>10.3</v>
      </c>
      <c r="H1339" s="391">
        <f t="shared" si="72"/>
        <v>15.450000000000001</v>
      </c>
    </row>
    <row r="1340" spans="2:8" s="65" customFormat="1" ht="20.100000000000001" customHeight="1" x14ac:dyDescent="0.25">
      <c r="B1340" s="483"/>
      <c r="C1340" s="484"/>
      <c r="D1340" s="68" t="s">
        <v>271</v>
      </c>
      <c r="E1340" s="339" t="s">
        <v>24</v>
      </c>
      <c r="F1340" s="337">
        <v>3.88</v>
      </c>
      <c r="G1340" s="337">
        <v>1.5</v>
      </c>
      <c r="H1340" s="391">
        <f t="shared" si="72"/>
        <v>5.82</v>
      </c>
    </row>
    <row r="1341" spans="2:8" s="65" customFormat="1" ht="20.100000000000001" customHeight="1" x14ac:dyDescent="0.25">
      <c r="B1341" s="483"/>
      <c r="C1341" s="484"/>
      <c r="D1341" s="68" t="s">
        <v>272</v>
      </c>
      <c r="E1341" s="339" t="s">
        <v>24</v>
      </c>
      <c r="F1341" s="337">
        <v>1.5</v>
      </c>
      <c r="G1341" s="337">
        <v>6.5</v>
      </c>
      <c r="H1341" s="391">
        <f t="shared" si="72"/>
        <v>9.75</v>
      </c>
    </row>
    <row r="1342" spans="2:8" s="65" customFormat="1" ht="20.100000000000001" customHeight="1" x14ac:dyDescent="0.25">
      <c r="B1342" s="483"/>
      <c r="C1342" s="484"/>
      <c r="D1342" s="68" t="s">
        <v>273</v>
      </c>
      <c r="E1342" s="339" t="s">
        <v>24</v>
      </c>
      <c r="F1342" s="337">
        <v>8.6999999999999993</v>
      </c>
      <c r="G1342" s="337">
        <v>1</v>
      </c>
      <c r="H1342" s="391">
        <f t="shared" si="72"/>
        <v>8.6999999999999993</v>
      </c>
    </row>
    <row r="1343" spans="2:8" s="65" customFormat="1" ht="20.100000000000001" customHeight="1" x14ac:dyDescent="0.25">
      <c r="B1343" s="483"/>
      <c r="C1343" s="484"/>
      <c r="D1343" s="68" t="s">
        <v>274</v>
      </c>
      <c r="E1343" s="339" t="s">
        <v>24</v>
      </c>
      <c r="F1343" s="337">
        <v>0.5</v>
      </c>
      <c r="G1343" s="337">
        <v>5.31</v>
      </c>
      <c r="H1343" s="391">
        <f t="shared" si="72"/>
        <v>2.6549999999999998</v>
      </c>
    </row>
    <row r="1344" spans="2:8" s="65" customFormat="1" ht="20.100000000000001" customHeight="1" x14ac:dyDescent="0.25">
      <c r="B1344" s="483"/>
      <c r="C1344" s="484"/>
      <c r="D1344" s="68" t="s">
        <v>275</v>
      </c>
      <c r="E1344" s="339" t="s">
        <v>24</v>
      </c>
      <c r="F1344" s="337">
        <v>0.45</v>
      </c>
      <c r="G1344" s="337">
        <v>8.1999999999999993</v>
      </c>
      <c r="H1344" s="391">
        <f t="shared" si="72"/>
        <v>3.69</v>
      </c>
    </row>
    <row r="1345" spans="2:8" s="65" customFormat="1" ht="20.100000000000001" customHeight="1" x14ac:dyDescent="0.25">
      <c r="B1345" s="483"/>
      <c r="C1345" s="484"/>
      <c r="D1345" s="68" t="s">
        <v>276</v>
      </c>
      <c r="E1345" s="339" t="s">
        <v>24</v>
      </c>
      <c r="F1345" s="337">
        <v>8.1999999999999993</v>
      </c>
      <c r="G1345" s="337">
        <v>4.8099999999999996</v>
      </c>
      <c r="H1345" s="391">
        <f t="shared" si="72"/>
        <v>39.441999999999993</v>
      </c>
    </row>
    <row r="1346" spans="2:8" s="65" customFormat="1" ht="20.100000000000001" customHeight="1" x14ac:dyDescent="0.25">
      <c r="B1346" s="483"/>
      <c r="C1346" s="484"/>
      <c r="D1346" s="68" t="s">
        <v>277</v>
      </c>
      <c r="E1346" s="339" t="s">
        <v>24</v>
      </c>
      <c r="F1346" s="337">
        <v>7.5</v>
      </c>
      <c r="G1346" s="337">
        <v>4</v>
      </c>
      <c r="H1346" s="391">
        <f>-G1346*F1346</f>
        <v>-30</v>
      </c>
    </row>
    <row r="1347" spans="2:8" s="65" customFormat="1" ht="20.100000000000001" customHeight="1" x14ac:dyDescent="0.25">
      <c r="B1347" s="386" t="s">
        <v>985</v>
      </c>
      <c r="C1347" s="163">
        <v>220309</v>
      </c>
      <c r="D1347" s="80" t="s">
        <v>278</v>
      </c>
      <c r="E1347" s="162" t="s">
        <v>24</v>
      </c>
      <c r="F1347" s="330" t="s">
        <v>26</v>
      </c>
      <c r="G1347" s="330" t="s">
        <v>27</v>
      </c>
      <c r="H1347" s="387">
        <f>SUM(H1348:H1362)</f>
        <v>558.58425</v>
      </c>
    </row>
    <row r="1348" spans="2:8" s="65" customFormat="1" ht="20.100000000000001" customHeight="1" x14ac:dyDescent="0.25">
      <c r="B1348" s="483"/>
      <c r="C1348" s="484"/>
      <c r="D1348" s="61" t="s">
        <v>141</v>
      </c>
      <c r="E1348" s="339" t="s">
        <v>24</v>
      </c>
      <c r="F1348" s="338">
        <v>7.55</v>
      </c>
      <c r="G1348" s="338">
        <v>6.35</v>
      </c>
      <c r="H1348" s="391">
        <f t="shared" ref="H1348:H1362" si="73">G1348*F1348</f>
        <v>47.942499999999995</v>
      </c>
    </row>
    <row r="1349" spans="2:8" s="65" customFormat="1" ht="20.100000000000001" customHeight="1" x14ac:dyDescent="0.25">
      <c r="B1349" s="483"/>
      <c r="C1349" s="484"/>
      <c r="D1349" s="61" t="s">
        <v>121</v>
      </c>
      <c r="E1349" s="339" t="s">
        <v>24</v>
      </c>
      <c r="F1349" s="338">
        <v>8</v>
      </c>
      <c r="G1349" s="338">
        <v>6.05</v>
      </c>
      <c r="H1349" s="391">
        <f t="shared" si="73"/>
        <v>48.4</v>
      </c>
    </row>
    <row r="1350" spans="2:8" s="65" customFormat="1" ht="20.100000000000001" customHeight="1" x14ac:dyDescent="0.25">
      <c r="B1350" s="483"/>
      <c r="C1350" s="484"/>
      <c r="D1350" s="61" t="s">
        <v>142</v>
      </c>
      <c r="E1350" s="339" t="s">
        <v>24</v>
      </c>
      <c r="F1350" s="338">
        <v>8</v>
      </c>
      <c r="G1350" s="338">
        <v>6.05</v>
      </c>
      <c r="H1350" s="391">
        <f t="shared" si="73"/>
        <v>48.4</v>
      </c>
    </row>
    <row r="1351" spans="2:8" s="65" customFormat="1" ht="20.100000000000001" customHeight="1" x14ac:dyDescent="0.25">
      <c r="B1351" s="483"/>
      <c r="C1351" s="484"/>
      <c r="D1351" s="61" t="s">
        <v>145</v>
      </c>
      <c r="E1351" s="339" t="s">
        <v>24</v>
      </c>
      <c r="F1351" s="338">
        <v>8.4</v>
      </c>
      <c r="G1351" s="338">
        <v>6.35</v>
      </c>
      <c r="H1351" s="391">
        <f t="shared" si="73"/>
        <v>53.339999999999996</v>
      </c>
    </row>
    <row r="1352" spans="2:8" s="65" customFormat="1" ht="20.100000000000001" customHeight="1" x14ac:dyDescent="0.25">
      <c r="B1352" s="483"/>
      <c r="C1352" s="484"/>
      <c r="D1352" s="61" t="s">
        <v>146</v>
      </c>
      <c r="E1352" s="339" t="s">
        <v>24</v>
      </c>
      <c r="F1352" s="338">
        <v>8.08</v>
      </c>
      <c r="G1352" s="338">
        <v>6.35</v>
      </c>
      <c r="H1352" s="391">
        <f t="shared" si="73"/>
        <v>51.308</v>
      </c>
    </row>
    <row r="1353" spans="2:8" s="65" customFormat="1" ht="20.100000000000001" customHeight="1" x14ac:dyDescent="0.25">
      <c r="B1353" s="483"/>
      <c r="C1353" s="484"/>
      <c r="D1353" s="61" t="s">
        <v>150</v>
      </c>
      <c r="E1353" s="339" t="s">
        <v>24</v>
      </c>
      <c r="F1353" s="338">
        <v>8.6300000000000008</v>
      </c>
      <c r="G1353" s="338">
        <v>1.9</v>
      </c>
      <c r="H1353" s="391">
        <f t="shared" si="73"/>
        <v>16.397000000000002</v>
      </c>
    </row>
    <row r="1354" spans="2:8" s="65" customFormat="1" ht="20.100000000000001" customHeight="1" x14ac:dyDescent="0.25">
      <c r="B1354" s="483"/>
      <c r="C1354" s="484"/>
      <c r="D1354" s="61" t="s">
        <v>151</v>
      </c>
      <c r="E1354" s="339" t="s">
        <v>24</v>
      </c>
      <c r="F1354" s="338">
        <f>16.14+6.5</f>
        <v>22.64</v>
      </c>
      <c r="G1354" s="338">
        <v>1.9</v>
      </c>
      <c r="H1354" s="391">
        <f t="shared" si="73"/>
        <v>43.015999999999998</v>
      </c>
    </row>
    <row r="1355" spans="2:8" s="65" customFormat="1" ht="20.100000000000001" customHeight="1" x14ac:dyDescent="0.25">
      <c r="B1355" s="483"/>
      <c r="C1355" s="484"/>
      <c r="D1355" s="61" t="s">
        <v>163</v>
      </c>
      <c r="E1355" s="339" t="s">
        <v>24</v>
      </c>
      <c r="F1355" s="338">
        <v>2.98</v>
      </c>
      <c r="G1355" s="338">
        <v>3.2</v>
      </c>
      <c r="H1355" s="391">
        <f t="shared" si="73"/>
        <v>9.5359999999999996</v>
      </c>
    </row>
    <row r="1356" spans="2:8" s="65" customFormat="1" ht="20.100000000000001" customHeight="1" x14ac:dyDescent="0.25">
      <c r="B1356" s="483"/>
      <c r="C1356" s="484"/>
      <c r="D1356" s="61" t="s">
        <v>164</v>
      </c>
      <c r="E1356" s="339" t="s">
        <v>24</v>
      </c>
      <c r="F1356" s="338">
        <v>2.98</v>
      </c>
      <c r="G1356" s="338">
        <v>3.2</v>
      </c>
      <c r="H1356" s="391">
        <f t="shared" si="73"/>
        <v>9.5359999999999996</v>
      </c>
    </row>
    <row r="1357" spans="2:8" s="65" customFormat="1" ht="20.100000000000001" customHeight="1" x14ac:dyDescent="0.25">
      <c r="B1357" s="483"/>
      <c r="C1357" s="484"/>
      <c r="D1357" s="61" t="s">
        <v>297</v>
      </c>
      <c r="E1357" s="339" t="s">
        <v>24</v>
      </c>
      <c r="F1357" s="338">
        <v>6</v>
      </c>
      <c r="G1357" s="338">
        <v>7.375</v>
      </c>
      <c r="H1357" s="391">
        <f t="shared" si="73"/>
        <v>44.25</v>
      </c>
    </row>
    <row r="1358" spans="2:8" s="65" customFormat="1" ht="20.100000000000001" customHeight="1" x14ac:dyDescent="0.25">
      <c r="B1358" s="483"/>
      <c r="C1358" s="484"/>
      <c r="D1358" s="61" t="s">
        <v>137</v>
      </c>
      <c r="E1358" s="339" t="s">
        <v>24</v>
      </c>
      <c r="F1358" s="338">
        <v>4.0250000000000004</v>
      </c>
      <c r="G1358" s="338">
        <v>5.95</v>
      </c>
      <c r="H1358" s="391">
        <f t="shared" si="73"/>
        <v>23.948750000000004</v>
      </c>
    </row>
    <row r="1359" spans="2:8" s="65" customFormat="1" ht="20.100000000000001" customHeight="1" x14ac:dyDescent="0.25">
      <c r="B1359" s="483"/>
      <c r="C1359" s="484"/>
      <c r="D1359" s="61" t="s">
        <v>189</v>
      </c>
      <c r="E1359" s="339" t="s">
        <v>24</v>
      </c>
      <c r="F1359" s="338">
        <v>6.3449999999999998</v>
      </c>
      <c r="G1359" s="338">
        <v>6</v>
      </c>
      <c r="H1359" s="391">
        <f t="shared" si="73"/>
        <v>38.07</v>
      </c>
    </row>
    <row r="1360" spans="2:8" s="65" customFormat="1" ht="20.100000000000001" customHeight="1" x14ac:dyDescent="0.25">
      <c r="B1360" s="483"/>
      <c r="C1360" s="484"/>
      <c r="D1360" s="61" t="s">
        <v>120</v>
      </c>
      <c r="E1360" s="339" t="s">
        <v>24</v>
      </c>
      <c r="F1360" s="338">
        <v>6.4</v>
      </c>
      <c r="G1360" s="338">
        <v>6</v>
      </c>
      <c r="H1360" s="391">
        <f t="shared" si="73"/>
        <v>38.400000000000006</v>
      </c>
    </row>
    <row r="1361" spans="2:8" s="65" customFormat="1" ht="20.100000000000001" customHeight="1" x14ac:dyDescent="0.25">
      <c r="B1361" s="483"/>
      <c r="C1361" s="484"/>
      <c r="D1361" s="61" t="s">
        <v>129</v>
      </c>
      <c r="E1361" s="339" t="s">
        <v>24</v>
      </c>
      <c r="F1361" s="338">
        <v>6.27</v>
      </c>
      <c r="G1361" s="338">
        <v>6</v>
      </c>
      <c r="H1361" s="391">
        <f t="shared" si="73"/>
        <v>37.619999999999997</v>
      </c>
    </row>
    <row r="1362" spans="2:8" s="65" customFormat="1" ht="20.100000000000001" customHeight="1" x14ac:dyDescent="0.25">
      <c r="B1362" s="483"/>
      <c r="C1362" s="484"/>
      <c r="D1362" s="61" t="s">
        <v>128</v>
      </c>
      <c r="E1362" s="339" t="s">
        <v>24</v>
      </c>
      <c r="F1362" s="338">
        <v>8.07</v>
      </c>
      <c r="G1362" s="338">
        <v>6</v>
      </c>
      <c r="H1362" s="391">
        <f t="shared" si="73"/>
        <v>48.42</v>
      </c>
    </row>
    <row r="1363" spans="2:8" s="65" customFormat="1" ht="20.100000000000001" customHeight="1" x14ac:dyDescent="0.25">
      <c r="B1363" s="386" t="s">
        <v>986</v>
      </c>
      <c r="C1363" s="163">
        <v>220311</v>
      </c>
      <c r="D1363" s="80" t="s">
        <v>299</v>
      </c>
      <c r="E1363" s="162" t="s">
        <v>24</v>
      </c>
      <c r="F1363" s="330" t="s">
        <v>26</v>
      </c>
      <c r="G1363" s="330" t="s">
        <v>27</v>
      </c>
      <c r="H1363" s="387">
        <f>SUM(H1364:H1378)</f>
        <v>277.66680000000002</v>
      </c>
    </row>
    <row r="1364" spans="2:8" s="65" customFormat="1" ht="20.100000000000001" customHeight="1" x14ac:dyDescent="0.25">
      <c r="B1364" s="475"/>
      <c r="C1364" s="476"/>
      <c r="D1364" s="61" t="s">
        <v>186</v>
      </c>
      <c r="E1364" s="339" t="s">
        <v>24</v>
      </c>
      <c r="F1364" s="338">
        <v>6</v>
      </c>
      <c r="G1364" s="338">
        <v>14.725</v>
      </c>
      <c r="H1364" s="391">
        <f t="shared" ref="H1364:H1373" si="74">G1364*F1364</f>
        <v>88.35</v>
      </c>
    </row>
    <row r="1365" spans="2:8" s="65" customFormat="1" ht="20.100000000000001" customHeight="1" x14ac:dyDescent="0.25">
      <c r="B1365" s="477"/>
      <c r="C1365" s="478"/>
      <c r="D1365" s="61" t="s">
        <v>160</v>
      </c>
      <c r="E1365" s="339" t="s">
        <v>24</v>
      </c>
      <c r="F1365" s="338">
        <v>7.95</v>
      </c>
      <c r="G1365" s="338">
        <v>6.9</v>
      </c>
      <c r="H1365" s="391">
        <f t="shared" si="74"/>
        <v>54.855000000000004</v>
      </c>
    </row>
    <row r="1366" spans="2:8" s="65" customFormat="1" ht="20.100000000000001" customHeight="1" x14ac:dyDescent="0.25">
      <c r="B1366" s="479"/>
      <c r="C1366" s="480"/>
      <c r="D1366" s="61" t="s">
        <v>143</v>
      </c>
      <c r="E1366" s="339" t="s">
        <v>24</v>
      </c>
      <c r="F1366" s="338">
        <v>4</v>
      </c>
      <c r="G1366" s="338">
        <v>4.8499999999999996</v>
      </c>
      <c r="H1366" s="391">
        <f t="shared" si="74"/>
        <v>19.399999999999999</v>
      </c>
    </row>
    <row r="1367" spans="2:8" s="65" customFormat="1" ht="20.100000000000001" customHeight="1" x14ac:dyDescent="0.25">
      <c r="B1367" s="411"/>
      <c r="C1367" s="281"/>
      <c r="D1367" s="61" t="s">
        <v>144</v>
      </c>
      <c r="E1367" s="339" t="s">
        <v>24</v>
      </c>
      <c r="F1367" s="338">
        <v>4</v>
      </c>
      <c r="G1367" s="338">
        <v>4.8499999999999996</v>
      </c>
      <c r="H1367" s="391">
        <f t="shared" si="74"/>
        <v>19.399999999999999</v>
      </c>
    </row>
    <row r="1368" spans="2:8" s="65" customFormat="1" ht="20.100000000000001" customHeight="1" x14ac:dyDescent="0.25">
      <c r="B1368" s="412"/>
      <c r="C1368" s="282"/>
      <c r="D1368" s="61" t="s">
        <v>147</v>
      </c>
      <c r="E1368" s="339" t="s">
        <v>24</v>
      </c>
      <c r="F1368" s="338">
        <v>4.1399999999999997</v>
      </c>
      <c r="G1368" s="338">
        <v>3.04</v>
      </c>
      <c r="H1368" s="391">
        <f t="shared" si="74"/>
        <v>12.585599999999999</v>
      </c>
    </row>
    <row r="1369" spans="2:8" s="65" customFormat="1" ht="20.100000000000001" customHeight="1" x14ac:dyDescent="0.25">
      <c r="B1369" s="412"/>
      <c r="C1369" s="282"/>
      <c r="D1369" s="61" t="s">
        <v>213</v>
      </c>
      <c r="E1369" s="339" t="s">
        <v>24</v>
      </c>
      <c r="F1369" s="338">
        <v>3.04</v>
      </c>
      <c r="G1369" s="338">
        <v>2.0299999999999998</v>
      </c>
      <c r="H1369" s="391">
        <f t="shared" si="74"/>
        <v>6.1711999999999998</v>
      </c>
    </row>
    <row r="1370" spans="2:8" s="65" customFormat="1" ht="20.100000000000001" customHeight="1" x14ac:dyDescent="0.25">
      <c r="B1370" s="412"/>
      <c r="C1370" s="282"/>
      <c r="D1370" s="61" t="s">
        <v>149</v>
      </c>
      <c r="E1370" s="339" t="s">
        <v>24</v>
      </c>
      <c r="F1370" s="338">
        <v>3.04</v>
      </c>
      <c r="G1370" s="338">
        <v>6.35</v>
      </c>
      <c r="H1370" s="391">
        <f t="shared" si="74"/>
        <v>19.303999999999998</v>
      </c>
    </row>
    <row r="1371" spans="2:8" s="65" customFormat="1" ht="20.100000000000001" customHeight="1" x14ac:dyDescent="0.25">
      <c r="B1371" s="412"/>
      <c r="C1371" s="282"/>
      <c r="D1371" s="61" t="s">
        <v>209</v>
      </c>
      <c r="E1371" s="339" t="s">
        <v>24</v>
      </c>
      <c r="F1371" s="338">
        <v>3.31</v>
      </c>
      <c r="G1371" s="338">
        <v>6</v>
      </c>
      <c r="H1371" s="391">
        <f t="shared" si="74"/>
        <v>19.86</v>
      </c>
    </row>
    <row r="1372" spans="2:8" s="65" customFormat="1" ht="20.100000000000001" customHeight="1" x14ac:dyDescent="0.25">
      <c r="B1372" s="412"/>
      <c r="C1372" s="282"/>
      <c r="D1372" s="61" t="s">
        <v>284</v>
      </c>
      <c r="E1372" s="339" t="s">
        <v>24</v>
      </c>
      <c r="F1372" s="338">
        <v>3.31</v>
      </c>
      <c r="G1372" s="338">
        <v>6</v>
      </c>
      <c r="H1372" s="391">
        <f t="shared" si="74"/>
        <v>19.86</v>
      </c>
    </row>
    <row r="1373" spans="2:8" s="65" customFormat="1" ht="20.100000000000001" customHeight="1" x14ac:dyDescent="0.25">
      <c r="B1373" s="412"/>
      <c r="C1373" s="282"/>
      <c r="D1373" s="61" t="s">
        <v>200</v>
      </c>
      <c r="E1373" s="339" t="s">
        <v>24</v>
      </c>
      <c r="F1373" s="338">
        <v>2.2000000000000002</v>
      </c>
      <c r="G1373" s="338">
        <v>1.26</v>
      </c>
      <c r="H1373" s="391">
        <f t="shared" si="74"/>
        <v>2.7720000000000002</v>
      </c>
    </row>
    <row r="1374" spans="2:8" s="65" customFormat="1" ht="20.100000000000001" customHeight="1" x14ac:dyDescent="0.25">
      <c r="B1374" s="412"/>
      <c r="C1374" s="282"/>
      <c r="D1374" s="156" t="s">
        <v>782</v>
      </c>
      <c r="E1374" s="339" t="s">
        <v>24</v>
      </c>
      <c r="F1374" s="506">
        <f>0.5385+1.348+0.47+0.013</f>
        <v>2.3694999999999999</v>
      </c>
      <c r="G1374" s="507"/>
      <c r="H1374" s="391">
        <f>F1374</f>
        <v>2.3694999999999999</v>
      </c>
    </row>
    <row r="1375" spans="2:8" s="65" customFormat="1" ht="20.100000000000001" customHeight="1" x14ac:dyDescent="0.25">
      <c r="B1375" s="412"/>
      <c r="C1375" s="282"/>
      <c r="D1375" s="156" t="s">
        <v>784</v>
      </c>
      <c r="E1375" s="339" t="s">
        <v>24</v>
      </c>
      <c r="F1375" s="506">
        <f>0.5385+1.348+0.47+0.013</f>
        <v>2.3694999999999999</v>
      </c>
      <c r="G1375" s="507"/>
      <c r="H1375" s="391">
        <f>F1375</f>
        <v>2.3694999999999999</v>
      </c>
    </row>
    <row r="1376" spans="2:8" s="65" customFormat="1" ht="20.100000000000001" customHeight="1" x14ac:dyDescent="0.25">
      <c r="B1376" s="412"/>
      <c r="C1376" s="282"/>
      <c r="D1376" s="61" t="s">
        <v>917</v>
      </c>
      <c r="E1376" s="339" t="s">
        <v>24</v>
      </c>
      <c r="F1376" s="461">
        <v>2.37</v>
      </c>
      <c r="G1376" s="462"/>
      <c r="H1376" s="392">
        <f>F1376</f>
        <v>2.37</v>
      </c>
    </row>
    <row r="1377" spans="2:8" s="65" customFormat="1" ht="20.100000000000001" customHeight="1" x14ac:dyDescent="0.25">
      <c r="B1377" s="412"/>
      <c r="C1377" s="282"/>
      <c r="D1377" s="156" t="s">
        <v>923</v>
      </c>
      <c r="E1377" s="339" t="s">
        <v>24</v>
      </c>
      <c r="F1377" s="506">
        <v>4</v>
      </c>
      <c r="G1377" s="507"/>
      <c r="H1377" s="392">
        <f t="shared" ref="H1377:H1378" si="75">F1377</f>
        <v>4</v>
      </c>
    </row>
    <row r="1378" spans="2:8" s="65" customFormat="1" ht="20.100000000000001" customHeight="1" x14ac:dyDescent="0.25">
      <c r="B1378" s="413"/>
      <c r="C1378" s="283"/>
      <c r="D1378" s="156" t="s">
        <v>924</v>
      </c>
      <c r="E1378" s="339" t="s">
        <v>24</v>
      </c>
      <c r="F1378" s="506">
        <v>4</v>
      </c>
      <c r="G1378" s="507"/>
      <c r="H1378" s="392">
        <f t="shared" si="75"/>
        <v>4</v>
      </c>
    </row>
    <row r="1379" spans="2:8" s="65" customFormat="1" ht="20.100000000000001" customHeight="1" x14ac:dyDescent="0.25">
      <c r="B1379" s="386" t="s">
        <v>987</v>
      </c>
      <c r="C1379" s="163">
        <v>221101</v>
      </c>
      <c r="D1379" s="80" t="s">
        <v>279</v>
      </c>
      <c r="E1379" s="162" t="s">
        <v>178</v>
      </c>
      <c r="F1379" s="330" t="s">
        <v>26</v>
      </c>
      <c r="G1379" s="330" t="s">
        <v>27</v>
      </c>
      <c r="H1379" s="387">
        <f>SUM(H1380:H1383)</f>
        <v>580.24760000000003</v>
      </c>
    </row>
    <row r="1380" spans="2:8" s="65" customFormat="1" ht="20.100000000000001" customHeight="1" x14ac:dyDescent="0.25">
      <c r="B1380" s="483"/>
      <c r="C1380" s="484"/>
      <c r="D1380" s="87" t="s">
        <v>280</v>
      </c>
      <c r="E1380" s="339" t="s">
        <v>24</v>
      </c>
      <c r="F1380" s="482">
        <v>475</v>
      </c>
      <c r="G1380" s="482"/>
      <c r="H1380" s="391">
        <f>F1380</f>
        <v>475</v>
      </c>
    </row>
    <row r="1381" spans="2:8" s="65" customFormat="1" ht="20.100000000000001" customHeight="1" x14ac:dyDescent="0.25">
      <c r="B1381" s="483"/>
      <c r="C1381" s="484"/>
      <c r="D1381" s="87" t="s">
        <v>281</v>
      </c>
      <c r="E1381" s="339" t="s">
        <v>24</v>
      </c>
      <c r="F1381" s="337">
        <v>14.84</v>
      </c>
      <c r="G1381" s="337">
        <v>3.1749999999999998</v>
      </c>
      <c r="H1381" s="391">
        <f>G1381*F1381</f>
        <v>47.116999999999997</v>
      </c>
    </row>
    <row r="1382" spans="2:8" s="65" customFormat="1" ht="20.100000000000001" customHeight="1" x14ac:dyDescent="0.25">
      <c r="B1382" s="483"/>
      <c r="C1382" s="484"/>
      <c r="D1382" s="87" t="s">
        <v>282</v>
      </c>
      <c r="E1382" s="339" t="s">
        <v>24</v>
      </c>
      <c r="F1382" s="337">
        <f>16.46+8.31</f>
        <v>24.770000000000003</v>
      </c>
      <c r="G1382" s="337">
        <v>1.925</v>
      </c>
      <c r="H1382" s="391">
        <f>G1382*F1382</f>
        <v>47.68225000000001</v>
      </c>
    </row>
    <row r="1383" spans="2:8" s="65" customFormat="1" ht="20.100000000000001" customHeight="1" x14ac:dyDescent="0.25">
      <c r="B1383" s="483"/>
      <c r="C1383" s="484"/>
      <c r="D1383" s="87" t="s">
        <v>283</v>
      </c>
      <c r="E1383" s="339" t="s">
        <v>24</v>
      </c>
      <c r="F1383" s="337">
        <f>8.635</f>
        <v>8.6349999999999998</v>
      </c>
      <c r="G1383" s="337">
        <f>1.21</f>
        <v>1.21</v>
      </c>
      <c r="H1383" s="391">
        <f>G1383*F1383</f>
        <v>10.44835</v>
      </c>
    </row>
    <row r="1384" spans="2:8" s="65" customFormat="1" ht="20.100000000000001" customHeight="1" x14ac:dyDescent="0.25">
      <c r="B1384" s="386" t="s">
        <v>988</v>
      </c>
      <c r="C1384" s="163">
        <v>220920</v>
      </c>
      <c r="D1384" s="80" t="s">
        <v>296</v>
      </c>
      <c r="E1384" s="162" t="s">
        <v>24</v>
      </c>
      <c r="F1384" s="330" t="s">
        <v>26</v>
      </c>
      <c r="G1384" s="330" t="s">
        <v>27</v>
      </c>
      <c r="H1384" s="387">
        <f>SUM(H1385:H1425)</f>
        <v>23.307199999999998</v>
      </c>
    </row>
    <row r="1385" spans="2:8" s="65" customFormat="1" ht="20.100000000000001" customHeight="1" x14ac:dyDescent="0.25">
      <c r="B1385" s="411"/>
      <c r="C1385" s="281"/>
      <c r="D1385" s="61" t="s">
        <v>141</v>
      </c>
      <c r="E1385" s="339" t="s">
        <v>24</v>
      </c>
      <c r="F1385" s="337">
        <v>1</v>
      </c>
      <c r="G1385" s="337">
        <v>0.15</v>
      </c>
      <c r="H1385" s="391">
        <f t="shared" ref="H1385:H1401" si="76">G1385*F1385</f>
        <v>0.15</v>
      </c>
    </row>
    <row r="1386" spans="2:8" s="65" customFormat="1" ht="20.100000000000001" customHeight="1" x14ac:dyDescent="0.25">
      <c r="B1386" s="412"/>
      <c r="C1386" s="282"/>
      <c r="D1386" s="61" t="s">
        <v>121</v>
      </c>
      <c r="E1386" s="339" t="s">
        <v>24</v>
      </c>
      <c r="F1386" s="337">
        <v>1</v>
      </c>
      <c r="G1386" s="337">
        <v>0.15</v>
      </c>
      <c r="H1386" s="391">
        <f t="shared" si="76"/>
        <v>0.15</v>
      </c>
    </row>
    <row r="1387" spans="2:8" s="65" customFormat="1" ht="20.100000000000001" customHeight="1" x14ac:dyDescent="0.25">
      <c r="B1387" s="412"/>
      <c r="C1387" s="282"/>
      <c r="D1387" s="61" t="s">
        <v>142</v>
      </c>
      <c r="E1387" s="339" t="s">
        <v>24</v>
      </c>
      <c r="F1387" s="337">
        <v>0.8</v>
      </c>
      <c r="G1387" s="337">
        <v>0.15</v>
      </c>
      <c r="H1387" s="391">
        <f t="shared" si="76"/>
        <v>0.12</v>
      </c>
    </row>
    <row r="1388" spans="2:8" s="65" customFormat="1" ht="20.100000000000001" customHeight="1" x14ac:dyDescent="0.25">
      <c r="B1388" s="412"/>
      <c r="C1388" s="282"/>
      <c r="D1388" s="61" t="s">
        <v>145</v>
      </c>
      <c r="E1388" s="339" t="s">
        <v>24</v>
      </c>
      <c r="F1388" s="337">
        <f>2*1.26</f>
        <v>2.52</v>
      </c>
      <c r="G1388" s="337">
        <v>0.18</v>
      </c>
      <c r="H1388" s="391">
        <f t="shared" si="76"/>
        <v>0.4536</v>
      </c>
    </row>
    <row r="1389" spans="2:8" s="65" customFormat="1" ht="20.100000000000001" customHeight="1" x14ac:dyDescent="0.25">
      <c r="B1389" s="412"/>
      <c r="C1389" s="282"/>
      <c r="D1389" s="61" t="s">
        <v>146</v>
      </c>
      <c r="E1389" s="339" t="s">
        <v>24</v>
      </c>
      <c r="F1389" s="337">
        <f>2*1.26</f>
        <v>2.52</v>
      </c>
      <c r="G1389" s="337">
        <v>0.18</v>
      </c>
      <c r="H1389" s="391">
        <f t="shared" si="76"/>
        <v>0.4536</v>
      </c>
    </row>
    <row r="1390" spans="2:8" s="65" customFormat="1" ht="20.100000000000001" customHeight="1" x14ac:dyDescent="0.25">
      <c r="B1390" s="412"/>
      <c r="C1390" s="282"/>
      <c r="D1390" s="61" t="s">
        <v>160</v>
      </c>
      <c r="E1390" s="339" t="s">
        <v>24</v>
      </c>
      <c r="F1390" s="337">
        <f>3*0.8+1*1</f>
        <v>3.4000000000000004</v>
      </c>
      <c r="G1390" s="337">
        <v>0.15</v>
      </c>
      <c r="H1390" s="391">
        <f t="shared" si="76"/>
        <v>0.51</v>
      </c>
    </row>
    <row r="1391" spans="2:8" s="65" customFormat="1" ht="20.100000000000001" customHeight="1" x14ac:dyDescent="0.25">
      <c r="B1391" s="412"/>
      <c r="C1391" s="282"/>
      <c r="D1391" s="61" t="s">
        <v>147</v>
      </c>
      <c r="E1391" s="339" t="s">
        <v>24</v>
      </c>
      <c r="F1391" s="337">
        <v>0.8</v>
      </c>
      <c r="G1391" s="337">
        <v>0.15</v>
      </c>
      <c r="H1391" s="391">
        <f t="shared" si="76"/>
        <v>0.12</v>
      </c>
    </row>
    <row r="1392" spans="2:8" s="65" customFormat="1" ht="20.100000000000001" customHeight="1" x14ac:dyDescent="0.25">
      <c r="B1392" s="412"/>
      <c r="C1392" s="282"/>
      <c r="D1392" s="61" t="s">
        <v>148</v>
      </c>
      <c r="E1392" s="339" t="s">
        <v>24</v>
      </c>
      <c r="F1392" s="337">
        <v>0.8</v>
      </c>
      <c r="G1392" s="337">
        <v>0.15</v>
      </c>
      <c r="H1392" s="391">
        <f t="shared" si="76"/>
        <v>0.12</v>
      </c>
    </row>
    <row r="1393" spans="1:8" s="65" customFormat="1" ht="20.100000000000001" customHeight="1" x14ac:dyDescent="0.25">
      <c r="B1393" s="412"/>
      <c r="C1393" s="282"/>
      <c r="D1393" s="61" t="s">
        <v>149</v>
      </c>
      <c r="E1393" s="339" t="s">
        <v>24</v>
      </c>
      <c r="F1393" s="337">
        <v>0.8</v>
      </c>
      <c r="G1393" s="337">
        <v>0.18</v>
      </c>
      <c r="H1393" s="391">
        <f t="shared" si="76"/>
        <v>0.14399999999999999</v>
      </c>
    </row>
    <row r="1394" spans="1:8" s="69" customFormat="1" ht="20.100000000000001" customHeight="1" x14ac:dyDescent="0.25">
      <c r="A1394" s="65"/>
      <c r="B1394" s="412"/>
      <c r="C1394" s="282"/>
      <c r="D1394" s="61" t="s">
        <v>163</v>
      </c>
      <c r="E1394" s="339" t="s">
        <v>24</v>
      </c>
      <c r="F1394" s="337">
        <f>2*0.8</f>
        <v>1.6</v>
      </c>
      <c r="G1394" s="337">
        <v>0.18</v>
      </c>
      <c r="H1394" s="391">
        <f t="shared" si="76"/>
        <v>0.28799999999999998</v>
      </c>
    </row>
    <row r="1395" spans="1:8" s="69" customFormat="1" ht="20.100000000000001" customHeight="1" x14ac:dyDescent="0.25">
      <c r="A1395" s="65"/>
      <c r="B1395" s="412"/>
      <c r="C1395" s="282"/>
      <c r="D1395" s="61" t="s">
        <v>164</v>
      </c>
      <c r="E1395" s="339" t="s">
        <v>24</v>
      </c>
      <c r="F1395" s="337">
        <f>2*0.8</f>
        <v>1.6</v>
      </c>
      <c r="G1395" s="337">
        <v>0.18</v>
      </c>
      <c r="H1395" s="391">
        <f t="shared" si="76"/>
        <v>0.28799999999999998</v>
      </c>
    </row>
    <row r="1396" spans="1:8" s="69" customFormat="1" ht="20.100000000000001" customHeight="1" x14ac:dyDescent="0.25">
      <c r="A1396" s="65"/>
      <c r="B1396" s="412"/>
      <c r="C1396" s="282"/>
      <c r="D1396" s="61" t="s">
        <v>297</v>
      </c>
      <c r="E1396" s="339" t="s">
        <v>24</v>
      </c>
      <c r="F1396" s="337">
        <v>1</v>
      </c>
      <c r="G1396" s="337">
        <v>0.15</v>
      </c>
      <c r="H1396" s="391">
        <f t="shared" si="76"/>
        <v>0.15</v>
      </c>
    </row>
    <row r="1397" spans="1:8" s="69" customFormat="1" ht="20.100000000000001" customHeight="1" x14ac:dyDescent="0.25">
      <c r="B1397" s="412"/>
      <c r="C1397" s="282"/>
      <c r="D1397" s="61" t="s">
        <v>137</v>
      </c>
      <c r="E1397" s="339" t="s">
        <v>24</v>
      </c>
      <c r="F1397" s="337">
        <v>1</v>
      </c>
      <c r="G1397" s="337">
        <v>0.15</v>
      </c>
      <c r="H1397" s="391">
        <f t="shared" si="76"/>
        <v>0.15</v>
      </c>
    </row>
    <row r="1398" spans="1:8" s="69" customFormat="1" ht="20.100000000000001" customHeight="1" x14ac:dyDescent="0.25">
      <c r="B1398" s="412"/>
      <c r="C1398" s="282"/>
      <c r="D1398" s="61" t="s">
        <v>189</v>
      </c>
      <c r="E1398" s="339" t="s">
        <v>24</v>
      </c>
      <c r="F1398" s="337">
        <v>1</v>
      </c>
      <c r="G1398" s="337">
        <v>0.15</v>
      </c>
      <c r="H1398" s="391">
        <f t="shared" si="76"/>
        <v>0.15</v>
      </c>
    </row>
    <row r="1399" spans="1:8" s="69" customFormat="1" ht="20.100000000000001" customHeight="1" x14ac:dyDescent="0.25">
      <c r="B1399" s="412"/>
      <c r="C1399" s="282"/>
      <c r="D1399" s="61" t="s">
        <v>209</v>
      </c>
      <c r="E1399" s="339" t="s">
        <v>24</v>
      </c>
      <c r="F1399" s="337">
        <v>2</v>
      </c>
      <c r="G1399" s="337">
        <v>0.15</v>
      </c>
      <c r="H1399" s="391">
        <f t="shared" si="76"/>
        <v>0.3</v>
      </c>
    </row>
    <row r="1400" spans="1:8" s="69" customFormat="1" ht="20.100000000000001" customHeight="1" x14ac:dyDescent="0.25">
      <c r="B1400" s="412"/>
      <c r="C1400" s="282"/>
      <c r="D1400" s="61" t="s">
        <v>284</v>
      </c>
      <c r="E1400" s="339" t="s">
        <v>24</v>
      </c>
      <c r="F1400" s="337">
        <v>2</v>
      </c>
      <c r="G1400" s="337">
        <v>0.15</v>
      </c>
      <c r="H1400" s="391">
        <f t="shared" si="76"/>
        <v>0.3</v>
      </c>
    </row>
    <row r="1401" spans="1:8" s="69" customFormat="1" ht="20.100000000000001" customHeight="1" x14ac:dyDescent="0.25">
      <c r="B1401" s="412"/>
      <c r="C1401" s="282"/>
      <c r="D1401" s="61" t="s">
        <v>120</v>
      </c>
      <c r="E1401" s="339" t="s">
        <v>24</v>
      </c>
      <c r="F1401" s="337">
        <v>1</v>
      </c>
      <c r="G1401" s="337">
        <v>0.15</v>
      </c>
      <c r="H1401" s="391">
        <f t="shared" si="76"/>
        <v>0.15</v>
      </c>
    </row>
    <row r="1402" spans="1:8" s="69" customFormat="1" ht="20.100000000000001" customHeight="1" x14ac:dyDescent="0.25">
      <c r="B1402" s="412"/>
      <c r="C1402" s="282"/>
      <c r="D1402" s="61" t="s">
        <v>129</v>
      </c>
      <c r="E1402" s="339" t="s">
        <v>24</v>
      </c>
      <c r="F1402" s="337">
        <v>1</v>
      </c>
      <c r="G1402" s="337">
        <v>0.15</v>
      </c>
      <c r="H1402" s="391">
        <f>G1401*F1401</f>
        <v>0.15</v>
      </c>
    </row>
    <row r="1403" spans="1:8" s="69" customFormat="1" ht="20.100000000000001" customHeight="1" x14ac:dyDescent="0.25">
      <c r="B1403" s="412"/>
      <c r="C1403" s="282"/>
      <c r="D1403" s="61" t="s">
        <v>200</v>
      </c>
      <c r="E1403" s="339" t="s">
        <v>24</v>
      </c>
      <c r="F1403" s="337">
        <v>1.2</v>
      </c>
      <c r="G1403" s="337">
        <v>0.15</v>
      </c>
      <c r="H1403" s="391">
        <f>G1402*F1402</f>
        <v>0.15</v>
      </c>
    </row>
    <row r="1404" spans="1:8" s="69" customFormat="1" ht="20.100000000000001" customHeight="1" x14ac:dyDescent="0.25">
      <c r="B1404" s="412"/>
      <c r="C1404" s="282"/>
      <c r="D1404" s="61" t="s">
        <v>128</v>
      </c>
      <c r="E1404" s="339" t="s">
        <v>24</v>
      </c>
      <c r="F1404" s="337">
        <v>1</v>
      </c>
      <c r="G1404" s="337">
        <v>0.15</v>
      </c>
      <c r="H1404" s="391">
        <f>G1404*F1404</f>
        <v>0.15</v>
      </c>
    </row>
    <row r="1405" spans="1:8" s="69" customFormat="1" ht="20.100000000000001" customHeight="1" x14ac:dyDescent="0.25">
      <c r="B1405" s="412"/>
      <c r="C1405" s="282"/>
      <c r="D1405" s="61" t="s">
        <v>1156</v>
      </c>
      <c r="E1405" s="339" t="s">
        <v>24</v>
      </c>
      <c r="F1405" s="337">
        <v>1.8</v>
      </c>
      <c r="G1405" s="337">
        <v>0.2</v>
      </c>
      <c r="H1405" s="391">
        <f>4*G1405*F1405</f>
        <v>1.4400000000000002</v>
      </c>
    </row>
    <row r="1406" spans="1:8" s="69" customFormat="1" ht="20.100000000000001" customHeight="1" x14ac:dyDescent="0.25">
      <c r="B1406" s="412"/>
      <c r="C1406" s="282"/>
      <c r="D1406" s="61" t="s">
        <v>1162</v>
      </c>
      <c r="E1406" s="339" t="s">
        <v>24</v>
      </c>
      <c r="F1406" s="337">
        <v>1.9</v>
      </c>
      <c r="G1406" s="337">
        <v>0.2</v>
      </c>
      <c r="H1406" s="391">
        <f>G1406*F1406</f>
        <v>0.38</v>
      </c>
    </row>
    <row r="1407" spans="1:8" s="69" customFormat="1" ht="20.100000000000001" customHeight="1" x14ac:dyDescent="0.25">
      <c r="B1407" s="412"/>
      <c r="C1407" s="282"/>
      <c r="D1407" s="61" t="s">
        <v>1163</v>
      </c>
      <c r="E1407" s="339" t="s">
        <v>24</v>
      </c>
      <c r="F1407" s="337">
        <v>1.8</v>
      </c>
      <c r="G1407" s="337">
        <v>0.2</v>
      </c>
      <c r="H1407" s="391">
        <f t="shared" ref="H1407:H1408" si="77">G1407*F1407</f>
        <v>0.36000000000000004</v>
      </c>
    </row>
    <row r="1408" spans="1:8" s="69" customFormat="1" ht="20.100000000000001" customHeight="1" x14ac:dyDescent="0.25">
      <c r="B1408" s="412"/>
      <c r="C1408" s="282"/>
      <c r="D1408" s="61" t="s">
        <v>1164</v>
      </c>
      <c r="E1408" s="339" t="s">
        <v>24</v>
      </c>
      <c r="F1408" s="337">
        <v>1.6</v>
      </c>
      <c r="G1408" s="337">
        <v>0.2</v>
      </c>
      <c r="H1408" s="391">
        <f t="shared" si="77"/>
        <v>0.32000000000000006</v>
      </c>
    </row>
    <row r="1409" spans="2:8" s="69" customFormat="1" ht="20.100000000000001" customHeight="1" x14ac:dyDescent="0.25">
      <c r="B1409" s="413"/>
      <c r="C1409" s="283"/>
      <c r="D1409" s="61" t="s">
        <v>1157</v>
      </c>
      <c r="E1409" s="339" t="s">
        <v>24</v>
      </c>
      <c r="F1409" s="337">
        <v>1.8</v>
      </c>
      <c r="G1409" s="337">
        <v>0.2</v>
      </c>
      <c r="H1409" s="391">
        <f>4*G1409*F1409</f>
        <v>1.4400000000000002</v>
      </c>
    </row>
    <row r="1410" spans="2:8" s="69" customFormat="1" ht="20.100000000000001" customHeight="1" x14ac:dyDescent="0.25">
      <c r="B1410" s="411"/>
      <c r="C1410" s="281"/>
      <c r="D1410" s="61" t="s">
        <v>1158</v>
      </c>
      <c r="E1410" s="339" t="s">
        <v>24</v>
      </c>
      <c r="F1410" s="337">
        <v>1.8</v>
      </c>
      <c r="G1410" s="337">
        <v>0.2</v>
      </c>
      <c r="H1410" s="391">
        <f>4*G1410*F1410</f>
        <v>1.4400000000000002</v>
      </c>
    </row>
    <row r="1411" spans="2:8" s="69" customFormat="1" ht="20.100000000000001" customHeight="1" x14ac:dyDescent="0.25">
      <c r="B1411" s="412"/>
      <c r="C1411" s="282"/>
      <c r="D1411" s="61" t="s">
        <v>1159</v>
      </c>
      <c r="E1411" s="339" t="s">
        <v>24</v>
      </c>
      <c r="F1411" s="337">
        <v>1.9</v>
      </c>
      <c r="G1411" s="337">
        <v>0.2</v>
      </c>
      <c r="H1411" s="391">
        <f>G1411*F1411</f>
        <v>0.38</v>
      </c>
    </row>
    <row r="1412" spans="2:8" s="69" customFormat="1" ht="20.100000000000001" customHeight="1" x14ac:dyDescent="0.25">
      <c r="B1412" s="412"/>
      <c r="C1412" s="282"/>
      <c r="D1412" s="61" t="s">
        <v>1160</v>
      </c>
      <c r="E1412" s="339" t="s">
        <v>24</v>
      </c>
      <c r="F1412" s="337">
        <v>1.8</v>
      </c>
      <c r="G1412" s="337">
        <v>0.2</v>
      </c>
      <c r="H1412" s="391">
        <f t="shared" ref="H1412:H1413" si="78">G1412*F1412</f>
        <v>0.36000000000000004</v>
      </c>
    </row>
    <row r="1413" spans="2:8" s="69" customFormat="1" ht="20.100000000000001" customHeight="1" x14ac:dyDescent="0.25">
      <c r="B1413" s="412"/>
      <c r="C1413" s="282"/>
      <c r="D1413" s="61" t="s">
        <v>1161</v>
      </c>
      <c r="E1413" s="339" t="s">
        <v>24</v>
      </c>
      <c r="F1413" s="337">
        <v>1.6</v>
      </c>
      <c r="G1413" s="337">
        <v>0.2</v>
      </c>
      <c r="H1413" s="391">
        <f t="shared" si="78"/>
        <v>0.32000000000000006</v>
      </c>
    </row>
    <row r="1414" spans="2:8" s="69" customFormat="1" ht="20.100000000000001" customHeight="1" x14ac:dyDescent="0.25">
      <c r="B1414" s="412"/>
      <c r="C1414" s="282"/>
      <c r="D1414" s="61" t="s">
        <v>1165</v>
      </c>
      <c r="E1414" s="339" t="s">
        <v>24</v>
      </c>
      <c r="F1414" s="337">
        <v>1.8</v>
      </c>
      <c r="G1414" s="337">
        <v>0.2</v>
      </c>
      <c r="H1414" s="391">
        <f>4*G1414*F1414</f>
        <v>1.4400000000000002</v>
      </c>
    </row>
    <row r="1415" spans="2:8" s="69" customFormat="1" ht="20.100000000000001" customHeight="1" x14ac:dyDescent="0.25">
      <c r="B1415" s="412"/>
      <c r="C1415" s="282"/>
      <c r="D1415" s="61" t="s">
        <v>1166</v>
      </c>
      <c r="E1415" s="339" t="s">
        <v>24</v>
      </c>
      <c r="F1415" s="337">
        <v>1.8</v>
      </c>
      <c r="G1415" s="337">
        <v>0.2</v>
      </c>
      <c r="H1415" s="391">
        <f>2*G1415*F1415</f>
        <v>0.72000000000000008</v>
      </c>
    </row>
    <row r="1416" spans="2:8" s="69" customFormat="1" ht="20.100000000000001" customHeight="1" x14ac:dyDescent="0.25">
      <c r="B1416" s="412"/>
      <c r="C1416" s="282"/>
      <c r="D1416" s="61" t="s">
        <v>1167</v>
      </c>
      <c r="E1416" s="339" t="s">
        <v>24</v>
      </c>
      <c r="F1416" s="337">
        <v>2.5</v>
      </c>
      <c r="G1416" s="337">
        <v>0.2</v>
      </c>
      <c r="H1416" s="391">
        <f>4*G1416*F1416</f>
        <v>2</v>
      </c>
    </row>
    <row r="1417" spans="2:8" s="69" customFormat="1" ht="20.100000000000001" customHeight="1" x14ac:dyDescent="0.25">
      <c r="B1417" s="412"/>
      <c r="C1417" s="282"/>
      <c r="D1417" s="61" t="s">
        <v>1168</v>
      </c>
      <c r="E1417" s="339" t="s">
        <v>24</v>
      </c>
      <c r="F1417" s="337">
        <v>2.5</v>
      </c>
      <c r="G1417" s="337">
        <v>0.2</v>
      </c>
      <c r="H1417" s="391">
        <f>6*G1417*F1417</f>
        <v>3.0000000000000004</v>
      </c>
    </row>
    <row r="1418" spans="2:8" s="69" customFormat="1" ht="20.100000000000001" customHeight="1" x14ac:dyDescent="0.25">
      <c r="B1418" s="412"/>
      <c r="C1418" s="282"/>
      <c r="D1418" s="61" t="s">
        <v>1169</v>
      </c>
      <c r="E1418" s="339" t="s">
        <v>24</v>
      </c>
      <c r="F1418" s="337">
        <v>1.8</v>
      </c>
      <c r="G1418" s="337">
        <v>0.2</v>
      </c>
      <c r="H1418" s="391">
        <f>G1418*F1418</f>
        <v>0.36000000000000004</v>
      </c>
    </row>
    <row r="1419" spans="2:8" s="69" customFormat="1" ht="20.100000000000001" customHeight="1" x14ac:dyDescent="0.25">
      <c r="B1419" s="412"/>
      <c r="C1419" s="282"/>
      <c r="D1419" s="61" t="s">
        <v>1170</v>
      </c>
      <c r="E1419" s="339" t="s">
        <v>24</v>
      </c>
      <c r="F1419" s="337">
        <v>2.4</v>
      </c>
      <c r="G1419" s="337">
        <v>0.2</v>
      </c>
      <c r="H1419" s="391">
        <f>2*G1419*F1419</f>
        <v>0.96</v>
      </c>
    </row>
    <row r="1420" spans="2:8" s="69" customFormat="1" ht="20.100000000000001" customHeight="1" x14ac:dyDescent="0.25">
      <c r="B1420" s="412"/>
      <c r="C1420" s="282"/>
      <c r="D1420" s="61" t="s">
        <v>1172</v>
      </c>
      <c r="E1420" s="339" t="s">
        <v>24</v>
      </c>
      <c r="F1420" s="337">
        <v>1.3</v>
      </c>
      <c r="G1420" s="337">
        <v>0.2</v>
      </c>
      <c r="H1420" s="391">
        <f>2*G1420*F1420</f>
        <v>0.52</v>
      </c>
    </row>
    <row r="1421" spans="2:8" s="69" customFormat="1" ht="20.100000000000001" customHeight="1" x14ac:dyDescent="0.25">
      <c r="B1421" s="412"/>
      <c r="C1421" s="282"/>
      <c r="D1421" s="61" t="s">
        <v>1173</v>
      </c>
      <c r="E1421" s="339" t="s">
        <v>24</v>
      </c>
      <c r="F1421" s="337">
        <v>0.6</v>
      </c>
      <c r="G1421" s="337">
        <v>0.2</v>
      </c>
      <c r="H1421" s="391">
        <f>2*G1421*F1421</f>
        <v>0.24</v>
      </c>
    </row>
    <row r="1422" spans="2:8" s="69" customFormat="1" ht="20.100000000000001" customHeight="1" x14ac:dyDescent="0.25">
      <c r="B1422" s="412"/>
      <c r="C1422" s="282"/>
      <c r="D1422" s="61" t="s">
        <v>1174</v>
      </c>
      <c r="E1422" s="339" t="s">
        <v>24</v>
      </c>
      <c r="F1422" s="337">
        <v>2.4</v>
      </c>
      <c r="G1422" s="337">
        <v>0.2</v>
      </c>
      <c r="H1422" s="391">
        <f>G1422*F1422</f>
        <v>0.48</v>
      </c>
    </row>
    <row r="1423" spans="2:8" s="69" customFormat="1" ht="20.100000000000001" customHeight="1" x14ac:dyDescent="0.25">
      <c r="B1423" s="412"/>
      <c r="C1423" s="282"/>
      <c r="D1423" s="61" t="s">
        <v>1175</v>
      </c>
      <c r="E1423" s="339" t="s">
        <v>24</v>
      </c>
      <c r="F1423" s="337">
        <v>1.9</v>
      </c>
      <c r="G1423" s="337">
        <v>0.2</v>
      </c>
      <c r="H1423" s="391">
        <f>G1423*F1423</f>
        <v>0.38</v>
      </c>
    </row>
    <row r="1424" spans="2:8" s="69" customFormat="1" ht="20.100000000000001" customHeight="1" x14ac:dyDescent="0.25">
      <c r="B1424" s="412"/>
      <c r="C1424" s="282"/>
      <c r="D1424" s="61" t="s">
        <v>1176</v>
      </c>
      <c r="E1424" s="339" t="s">
        <v>24</v>
      </c>
      <c r="F1424" s="337">
        <v>2.5</v>
      </c>
      <c r="G1424" s="337">
        <v>0.2</v>
      </c>
      <c r="H1424" s="391">
        <f>4*G1424*F1424</f>
        <v>2</v>
      </c>
    </row>
    <row r="1425" spans="2:8" s="69" customFormat="1" ht="20.100000000000001" customHeight="1" x14ac:dyDescent="0.25">
      <c r="B1425" s="413"/>
      <c r="C1425" s="283"/>
      <c r="D1425" s="61" t="s">
        <v>1178</v>
      </c>
      <c r="E1425" s="339"/>
      <c r="F1425" s="337">
        <v>1.6</v>
      </c>
      <c r="G1425" s="337">
        <v>0.2</v>
      </c>
      <c r="H1425" s="391">
        <f>G1425*F1425</f>
        <v>0.32000000000000006</v>
      </c>
    </row>
    <row r="1426" spans="2:8" s="69" customFormat="1" ht="20.100000000000001" customHeight="1" x14ac:dyDescent="0.25">
      <c r="B1426" s="386" t="s">
        <v>989</v>
      </c>
      <c r="C1426" s="163">
        <v>220310</v>
      </c>
      <c r="D1426" s="80" t="s">
        <v>298</v>
      </c>
      <c r="E1426" s="162" t="s">
        <v>29</v>
      </c>
      <c r="F1426" s="455" t="s">
        <v>26</v>
      </c>
      <c r="G1426" s="455"/>
      <c r="H1426" s="387">
        <f>SUM(H1427:H1458)</f>
        <v>324.12000000000006</v>
      </c>
    </row>
    <row r="1427" spans="2:8" s="69" customFormat="1" ht="20.100000000000001" customHeight="1" x14ac:dyDescent="0.25">
      <c r="B1427" s="411"/>
      <c r="C1427" s="281"/>
      <c r="D1427" s="61" t="s">
        <v>141</v>
      </c>
      <c r="E1427" s="339" t="s">
        <v>29</v>
      </c>
      <c r="F1427" s="456">
        <f>6.35+7.59</f>
        <v>13.94</v>
      </c>
      <c r="G1427" s="456"/>
      <c r="H1427" s="391">
        <f>F1427*2</f>
        <v>27.88</v>
      </c>
    </row>
    <row r="1428" spans="2:8" s="69" customFormat="1" ht="20.100000000000001" customHeight="1" x14ac:dyDescent="0.25">
      <c r="B1428" s="412"/>
      <c r="C1428" s="282"/>
      <c r="D1428" s="61" t="s">
        <v>421</v>
      </c>
      <c r="E1428" s="339" t="s">
        <v>29</v>
      </c>
      <c r="F1428" s="456">
        <v>-1</v>
      </c>
      <c r="G1428" s="456"/>
      <c r="H1428" s="391">
        <f>F1428</f>
        <v>-1</v>
      </c>
    </row>
    <row r="1429" spans="2:8" s="69" customFormat="1" ht="20.100000000000001" customHeight="1" x14ac:dyDescent="0.25">
      <c r="B1429" s="412"/>
      <c r="C1429" s="282"/>
      <c r="D1429" s="61" t="s">
        <v>121</v>
      </c>
      <c r="E1429" s="339" t="s">
        <v>29</v>
      </c>
      <c r="F1429" s="456">
        <f>8+6.05</f>
        <v>14.05</v>
      </c>
      <c r="G1429" s="456"/>
      <c r="H1429" s="391">
        <f>F1429*2</f>
        <v>28.1</v>
      </c>
    </row>
    <row r="1430" spans="2:8" s="69" customFormat="1" ht="20.100000000000001" customHeight="1" x14ac:dyDescent="0.25">
      <c r="B1430" s="412"/>
      <c r="C1430" s="282"/>
      <c r="D1430" s="61" t="s">
        <v>401</v>
      </c>
      <c r="E1430" s="339" t="s">
        <v>29</v>
      </c>
      <c r="F1430" s="456">
        <v>-1</v>
      </c>
      <c r="G1430" s="456"/>
      <c r="H1430" s="391">
        <f>F1430</f>
        <v>-1</v>
      </c>
    </row>
    <row r="1431" spans="2:8" s="69" customFormat="1" ht="20.100000000000001" customHeight="1" x14ac:dyDescent="0.25">
      <c r="B1431" s="412"/>
      <c r="C1431" s="282"/>
      <c r="D1431" s="61" t="s">
        <v>142</v>
      </c>
      <c r="E1431" s="339" t="s">
        <v>29</v>
      </c>
      <c r="F1431" s="456">
        <f>8+6.05</f>
        <v>14.05</v>
      </c>
      <c r="G1431" s="456"/>
      <c r="H1431" s="391">
        <f>F1431*2</f>
        <v>28.1</v>
      </c>
    </row>
    <row r="1432" spans="2:8" s="69" customFormat="1" ht="20.100000000000001" customHeight="1" x14ac:dyDescent="0.25">
      <c r="B1432" s="412"/>
      <c r="C1432" s="282"/>
      <c r="D1432" s="61" t="s">
        <v>406</v>
      </c>
      <c r="E1432" s="339" t="s">
        <v>29</v>
      </c>
      <c r="F1432" s="456">
        <v>-0.8</v>
      </c>
      <c r="G1432" s="456"/>
      <c r="H1432" s="391">
        <f>F1432</f>
        <v>-0.8</v>
      </c>
    </row>
    <row r="1433" spans="2:8" s="69" customFormat="1" ht="20.100000000000001" customHeight="1" x14ac:dyDescent="0.25">
      <c r="B1433" s="412"/>
      <c r="C1433" s="282"/>
      <c r="D1433" s="61" t="s">
        <v>145</v>
      </c>
      <c r="E1433" s="339" t="s">
        <v>29</v>
      </c>
      <c r="F1433" s="456">
        <f>8.4+6.35</f>
        <v>14.75</v>
      </c>
      <c r="G1433" s="456"/>
      <c r="H1433" s="391">
        <f>F1433*2</f>
        <v>29.5</v>
      </c>
    </row>
    <row r="1434" spans="2:8" s="69" customFormat="1" ht="20.100000000000001" customHeight="1" x14ac:dyDescent="0.25">
      <c r="B1434" s="412"/>
      <c r="C1434" s="282"/>
      <c r="D1434" s="61" t="s">
        <v>415</v>
      </c>
      <c r="E1434" s="339" t="s">
        <v>29</v>
      </c>
      <c r="F1434" s="456">
        <f>-2*0.8</f>
        <v>-1.6</v>
      </c>
      <c r="G1434" s="456"/>
      <c r="H1434" s="391">
        <f>F1434</f>
        <v>-1.6</v>
      </c>
    </row>
    <row r="1435" spans="2:8" s="69" customFormat="1" ht="20.25" customHeight="1" x14ac:dyDescent="0.25">
      <c r="B1435" s="412"/>
      <c r="C1435" s="282"/>
      <c r="D1435" s="61" t="s">
        <v>420</v>
      </c>
      <c r="E1435" s="339" t="s">
        <v>29</v>
      </c>
      <c r="F1435" s="456">
        <f>-1.26*2</f>
        <v>-2.52</v>
      </c>
      <c r="G1435" s="456"/>
      <c r="H1435" s="391">
        <f>F1435</f>
        <v>-2.52</v>
      </c>
    </row>
    <row r="1436" spans="2:8" s="69" customFormat="1" ht="20.100000000000001" customHeight="1" x14ac:dyDescent="0.25">
      <c r="B1436" s="412"/>
      <c r="C1436" s="282"/>
      <c r="D1436" s="61" t="s">
        <v>146</v>
      </c>
      <c r="E1436" s="339" t="s">
        <v>29</v>
      </c>
      <c r="F1436" s="456">
        <f>8.14+6.35</f>
        <v>14.49</v>
      </c>
      <c r="G1436" s="456"/>
      <c r="H1436" s="391">
        <f>F1436*2</f>
        <v>28.98</v>
      </c>
    </row>
    <row r="1437" spans="2:8" s="69" customFormat="1" ht="20.100000000000001" customHeight="1" x14ac:dyDescent="0.25">
      <c r="B1437" s="412"/>
      <c r="C1437" s="282"/>
      <c r="D1437" s="61" t="s">
        <v>415</v>
      </c>
      <c r="E1437" s="339" t="s">
        <v>29</v>
      </c>
      <c r="F1437" s="456">
        <f>-2*0.8</f>
        <v>-1.6</v>
      </c>
      <c r="G1437" s="456"/>
      <c r="H1437" s="391">
        <f t="shared" ref="H1437:H1442" si="79">F1437</f>
        <v>-1.6</v>
      </c>
    </row>
    <row r="1438" spans="2:8" s="69" customFormat="1" ht="20.100000000000001" customHeight="1" x14ac:dyDescent="0.25">
      <c r="B1438" s="412"/>
      <c r="C1438" s="282"/>
      <c r="D1438" s="61" t="s">
        <v>420</v>
      </c>
      <c r="E1438" s="339" t="s">
        <v>29</v>
      </c>
      <c r="F1438" s="456">
        <v>-2.52</v>
      </c>
      <c r="G1438" s="456"/>
      <c r="H1438" s="391">
        <f t="shared" si="79"/>
        <v>-2.52</v>
      </c>
    </row>
    <row r="1439" spans="2:8" s="69" customFormat="1" ht="20.100000000000001" customHeight="1" x14ac:dyDescent="0.25">
      <c r="B1439" s="412"/>
      <c r="C1439" s="282"/>
      <c r="D1439" s="61" t="s">
        <v>150</v>
      </c>
      <c r="E1439" s="339" t="s">
        <v>29</v>
      </c>
      <c r="F1439" s="456">
        <f>8.4+1.72</f>
        <v>10.120000000000001</v>
      </c>
      <c r="G1439" s="456"/>
      <c r="H1439" s="391">
        <f t="shared" si="79"/>
        <v>10.120000000000001</v>
      </c>
    </row>
    <row r="1440" spans="2:8" s="69" customFormat="1" ht="20.100000000000001" customHeight="1" x14ac:dyDescent="0.25">
      <c r="B1440" s="412"/>
      <c r="C1440" s="282"/>
      <c r="D1440" s="61" t="s">
        <v>419</v>
      </c>
      <c r="E1440" s="339" t="s">
        <v>29</v>
      </c>
      <c r="F1440" s="456">
        <v>-1.26</v>
      </c>
      <c r="G1440" s="456"/>
      <c r="H1440" s="391">
        <f t="shared" si="79"/>
        <v>-1.26</v>
      </c>
    </row>
    <row r="1441" spans="2:8" s="69" customFormat="1" ht="20.100000000000001" customHeight="1" x14ac:dyDescent="0.25">
      <c r="B1441" s="412"/>
      <c r="C1441" s="282"/>
      <c r="D1441" s="61" t="s">
        <v>151</v>
      </c>
      <c r="E1441" s="339" t="s">
        <v>29</v>
      </c>
      <c r="F1441" s="456">
        <f>22.64+1.9</f>
        <v>24.54</v>
      </c>
      <c r="G1441" s="456"/>
      <c r="H1441" s="391">
        <f t="shared" si="79"/>
        <v>24.54</v>
      </c>
    </row>
    <row r="1442" spans="2:8" s="69" customFormat="1" ht="20.100000000000001" customHeight="1" x14ac:dyDescent="0.25">
      <c r="B1442" s="412"/>
      <c r="C1442" s="282"/>
      <c r="D1442" s="61" t="s">
        <v>418</v>
      </c>
      <c r="E1442" s="339" t="s">
        <v>29</v>
      </c>
      <c r="F1442" s="456">
        <v>-1.26</v>
      </c>
      <c r="G1442" s="456"/>
      <c r="H1442" s="391">
        <f t="shared" si="79"/>
        <v>-1.26</v>
      </c>
    </row>
    <row r="1443" spans="2:8" s="69" customFormat="1" ht="20.100000000000001" customHeight="1" x14ac:dyDescent="0.25">
      <c r="B1443" s="412"/>
      <c r="C1443" s="282"/>
      <c r="D1443" s="61" t="s">
        <v>163</v>
      </c>
      <c r="E1443" s="339" t="s">
        <v>29</v>
      </c>
      <c r="F1443" s="456">
        <f>2.98+3.2</f>
        <v>6.18</v>
      </c>
      <c r="G1443" s="456"/>
      <c r="H1443" s="391">
        <f>F1443*2</f>
        <v>12.36</v>
      </c>
    </row>
    <row r="1444" spans="2:8" s="69" customFormat="1" ht="20.100000000000001" customHeight="1" x14ac:dyDescent="0.25">
      <c r="B1444" s="412"/>
      <c r="C1444" s="282"/>
      <c r="D1444" s="61" t="s">
        <v>415</v>
      </c>
      <c r="E1444" s="339" t="s">
        <v>29</v>
      </c>
      <c r="F1444" s="456">
        <f>-2*0.8</f>
        <v>-1.6</v>
      </c>
      <c r="G1444" s="456"/>
      <c r="H1444" s="391">
        <f>F1444</f>
        <v>-1.6</v>
      </c>
    </row>
    <row r="1445" spans="2:8" s="69" customFormat="1" ht="20.100000000000001" customHeight="1" x14ac:dyDescent="0.25">
      <c r="B1445" s="412"/>
      <c r="C1445" s="282"/>
      <c r="D1445" s="61" t="s">
        <v>164</v>
      </c>
      <c r="E1445" s="339" t="s">
        <v>29</v>
      </c>
      <c r="F1445" s="456">
        <f>2.98+3.2</f>
        <v>6.18</v>
      </c>
      <c r="G1445" s="456"/>
      <c r="H1445" s="391">
        <f>F1445*2</f>
        <v>12.36</v>
      </c>
    </row>
    <row r="1446" spans="2:8" s="69" customFormat="1" ht="20.100000000000001" customHeight="1" x14ac:dyDescent="0.25">
      <c r="B1446" s="412"/>
      <c r="C1446" s="282"/>
      <c r="D1446" s="61" t="s">
        <v>417</v>
      </c>
      <c r="E1446" s="339" t="s">
        <v>29</v>
      </c>
      <c r="F1446" s="456">
        <f>-2*0.8</f>
        <v>-1.6</v>
      </c>
      <c r="G1446" s="456"/>
      <c r="H1446" s="391">
        <f>F1446</f>
        <v>-1.6</v>
      </c>
    </row>
    <row r="1447" spans="2:8" s="69" customFormat="1" ht="20.100000000000001" customHeight="1" x14ac:dyDescent="0.25">
      <c r="B1447" s="412"/>
      <c r="C1447" s="282"/>
      <c r="D1447" s="61" t="s">
        <v>297</v>
      </c>
      <c r="E1447" s="339" t="s">
        <v>29</v>
      </c>
      <c r="F1447" s="456">
        <f>6+7.4</f>
        <v>13.4</v>
      </c>
      <c r="G1447" s="456"/>
      <c r="H1447" s="391">
        <f>F1447*2</f>
        <v>26.8</v>
      </c>
    </row>
    <row r="1448" spans="2:8" s="69" customFormat="1" ht="20.100000000000001" customHeight="1" x14ac:dyDescent="0.25">
      <c r="B1448" s="412"/>
      <c r="C1448" s="282"/>
      <c r="D1448" s="61" t="s">
        <v>401</v>
      </c>
      <c r="E1448" s="339" t="s">
        <v>29</v>
      </c>
      <c r="F1448" s="456">
        <v>-1</v>
      </c>
      <c r="G1448" s="456"/>
      <c r="H1448" s="391">
        <f>F1448</f>
        <v>-1</v>
      </c>
    </row>
    <row r="1449" spans="2:8" s="69" customFormat="1" ht="20.100000000000001" customHeight="1" x14ac:dyDescent="0.25">
      <c r="B1449" s="412"/>
      <c r="C1449" s="282"/>
      <c r="D1449" s="61" t="s">
        <v>137</v>
      </c>
      <c r="E1449" s="339" t="s">
        <v>29</v>
      </c>
      <c r="F1449" s="456">
        <f>6+4.015</f>
        <v>10.015000000000001</v>
      </c>
      <c r="G1449" s="456"/>
      <c r="H1449" s="391">
        <f>F1449*2</f>
        <v>20.03</v>
      </c>
    </row>
    <row r="1450" spans="2:8" s="69" customFormat="1" ht="20.100000000000001" customHeight="1" x14ac:dyDescent="0.25">
      <c r="B1450" s="412"/>
      <c r="C1450" s="282"/>
      <c r="D1450" s="61" t="s">
        <v>401</v>
      </c>
      <c r="E1450" s="339" t="s">
        <v>29</v>
      </c>
      <c r="F1450" s="456">
        <v>-1</v>
      </c>
      <c r="G1450" s="456"/>
      <c r="H1450" s="391">
        <f>F1450</f>
        <v>-1</v>
      </c>
    </row>
    <row r="1451" spans="2:8" s="69" customFormat="1" ht="24.75" customHeight="1" x14ac:dyDescent="0.25">
      <c r="B1451" s="412"/>
      <c r="C1451" s="282"/>
      <c r="D1451" s="61" t="s">
        <v>189</v>
      </c>
      <c r="E1451" s="339" t="s">
        <v>29</v>
      </c>
      <c r="F1451" s="456">
        <f>6.35+6</f>
        <v>12.35</v>
      </c>
      <c r="G1451" s="456"/>
      <c r="H1451" s="391">
        <f>F1451*2</f>
        <v>24.7</v>
      </c>
    </row>
    <row r="1452" spans="2:8" s="69" customFormat="1" ht="20.100000000000001" customHeight="1" x14ac:dyDescent="0.25">
      <c r="B1452" s="413"/>
      <c r="C1452" s="283"/>
      <c r="D1452" s="61" t="s">
        <v>407</v>
      </c>
      <c r="E1452" s="339" t="s">
        <v>29</v>
      </c>
      <c r="F1452" s="456">
        <v>-2</v>
      </c>
      <c r="G1452" s="456"/>
      <c r="H1452" s="391">
        <f>F1452</f>
        <v>-2</v>
      </c>
    </row>
    <row r="1453" spans="2:8" s="69" customFormat="1" ht="20.100000000000001" customHeight="1" x14ac:dyDescent="0.25">
      <c r="B1453" s="411"/>
      <c r="C1453" s="281"/>
      <c r="D1453" s="61" t="s">
        <v>120</v>
      </c>
      <c r="E1453" s="339" t="s">
        <v>29</v>
      </c>
      <c r="F1453" s="456">
        <f>6+6.345</f>
        <v>12.344999999999999</v>
      </c>
      <c r="G1453" s="456"/>
      <c r="H1453" s="391">
        <f>F1453*2</f>
        <v>24.689999999999998</v>
      </c>
    </row>
    <row r="1454" spans="2:8" s="69" customFormat="1" ht="20.100000000000001" customHeight="1" x14ac:dyDescent="0.25">
      <c r="B1454" s="412"/>
      <c r="C1454" s="282"/>
      <c r="D1454" s="61" t="s">
        <v>416</v>
      </c>
      <c r="E1454" s="339" t="s">
        <v>29</v>
      </c>
      <c r="F1454" s="456">
        <v>-2</v>
      </c>
      <c r="G1454" s="456"/>
      <c r="H1454" s="391">
        <f>F1454</f>
        <v>-2</v>
      </c>
    </row>
    <row r="1455" spans="2:8" s="69" customFormat="1" ht="20.100000000000001" customHeight="1" x14ac:dyDescent="0.25">
      <c r="B1455" s="412"/>
      <c r="C1455" s="282"/>
      <c r="D1455" s="61" t="s">
        <v>129</v>
      </c>
      <c r="E1455" s="339" t="s">
        <v>29</v>
      </c>
      <c r="F1455" s="456">
        <f>6.27+6</f>
        <v>12.27</v>
      </c>
      <c r="G1455" s="456"/>
      <c r="H1455" s="391">
        <f>F1455*2</f>
        <v>24.54</v>
      </c>
    </row>
    <row r="1456" spans="2:8" s="69" customFormat="1" ht="20.100000000000001" customHeight="1" x14ac:dyDescent="0.25">
      <c r="B1456" s="412"/>
      <c r="C1456" s="282"/>
      <c r="D1456" s="61" t="s">
        <v>416</v>
      </c>
      <c r="E1456" s="339" t="s">
        <v>29</v>
      </c>
      <c r="F1456" s="456">
        <v>-2</v>
      </c>
      <c r="G1456" s="456"/>
      <c r="H1456" s="391">
        <f>F1456</f>
        <v>-2</v>
      </c>
    </row>
    <row r="1457" spans="2:8" s="69" customFormat="1" ht="20.100000000000001" customHeight="1" x14ac:dyDescent="0.25">
      <c r="B1457" s="412"/>
      <c r="C1457" s="282"/>
      <c r="D1457" s="61" t="s">
        <v>128</v>
      </c>
      <c r="E1457" s="339" t="s">
        <v>29</v>
      </c>
      <c r="F1457" s="456">
        <f>8.09+6</f>
        <v>14.09</v>
      </c>
      <c r="G1457" s="456"/>
      <c r="H1457" s="391">
        <f>F1457*2</f>
        <v>28.18</v>
      </c>
    </row>
    <row r="1458" spans="2:8" s="69" customFormat="1" ht="20.100000000000001" customHeight="1" x14ac:dyDescent="0.25">
      <c r="B1458" s="413"/>
      <c r="C1458" s="283"/>
      <c r="D1458" s="61" t="s">
        <v>407</v>
      </c>
      <c r="E1458" s="339" t="s">
        <v>29</v>
      </c>
      <c r="F1458" s="456">
        <v>-2</v>
      </c>
      <c r="G1458" s="456"/>
      <c r="H1458" s="391">
        <f>F1458</f>
        <v>-2</v>
      </c>
    </row>
    <row r="1459" spans="2:8" s="69" customFormat="1" ht="20.100000000000001" customHeight="1" x14ac:dyDescent="0.25">
      <c r="B1459" s="386" t="s">
        <v>990</v>
      </c>
      <c r="C1459" s="163">
        <v>220312</v>
      </c>
      <c r="D1459" s="80" t="s">
        <v>300</v>
      </c>
      <c r="E1459" s="162" t="s">
        <v>29</v>
      </c>
      <c r="F1459" s="455" t="s">
        <v>26</v>
      </c>
      <c r="G1459" s="455"/>
      <c r="H1459" s="387">
        <f>SUM(H1460:H1481)</f>
        <v>211.245</v>
      </c>
    </row>
    <row r="1460" spans="2:8" s="69" customFormat="1" ht="20.100000000000001" customHeight="1" x14ac:dyDescent="0.25">
      <c r="B1460" s="475"/>
      <c r="C1460" s="559"/>
      <c r="D1460" s="61" t="s">
        <v>186</v>
      </c>
      <c r="E1460" s="339" t="s">
        <v>29</v>
      </c>
      <c r="F1460" s="482">
        <f>(6+14.75)*2</f>
        <v>41.5</v>
      </c>
      <c r="G1460" s="482"/>
      <c r="H1460" s="391">
        <f t="shared" ref="H1460:H1481" si="80">F1460</f>
        <v>41.5</v>
      </c>
    </row>
    <row r="1461" spans="2:8" s="69" customFormat="1" ht="20.100000000000001" customHeight="1" x14ac:dyDescent="0.25">
      <c r="B1461" s="477"/>
      <c r="C1461" s="560"/>
      <c r="D1461" s="61" t="s">
        <v>407</v>
      </c>
      <c r="E1461" s="339" t="s">
        <v>29</v>
      </c>
      <c r="F1461" s="482">
        <v>-2</v>
      </c>
      <c r="G1461" s="482"/>
      <c r="H1461" s="391">
        <f t="shared" si="80"/>
        <v>-2</v>
      </c>
    </row>
    <row r="1462" spans="2:8" s="69" customFormat="1" ht="24" customHeight="1" x14ac:dyDescent="0.25">
      <c r="B1462" s="477"/>
      <c r="C1462" s="560"/>
      <c r="D1462" s="61" t="s">
        <v>406</v>
      </c>
      <c r="E1462" s="339" t="s">
        <v>29</v>
      </c>
      <c r="F1462" s="482">
        <v>-0.8</v>
      </c>
      <c r="G1462" s="482"/>
      <c r="H1462" s="391">
        <f t="shared" si="80"/>
        <v>-0.8</v>
      </c>
    </row>
    <row r="1463" spans="2:8" s="69" customFormat="1" ht="20.100000000000001" customHeight="1" x14ac:dyDescent="0.25">
      <c r="B1463" s="477"/>
      <c r="C1463" s="560"/>
      <c r="D1463" s="61" t="s">
        <v>205</v>
      </c>
      <c r="E1463" s="339" t="s">
        <v>29</v>
      </c>
      <c r="F1463" s="482">
        <v>37.685000000000002</v>
      </c>
      <c r="G1463" s="482"/>
      <c r="H1463" s="391">
        <f t="shared" si="80"/>
        <v>37.685000000000002</v>
      </c>
    </row>
    <row r="1464" spans="2:8" s="69" customFormat="1" ht="20.100000000000001" customHeight="1" x14ac:dyDescent="0.25">
      <c r="B1464" s="477"/>
      <c r="C1464" s="560"/>
      <c r="D1464" s="61" t="s">
        <v>408</v>
      </c>
      <c r="E1464" s="339" t="s">
        <v>29</v>
      </c>
      <c r="F1464" s="506">
        <f>-4*0.8</f>
        <v>-3.2</v>
      </c>
      <c r="G1464" s="507"/>
      <c r="H1464" s="391">
        <f t="shared" si="80"/>
        <v>-3.2</v>
      </c>
    </row>
    <row r="1465" spans="2:8" s="69" customFormat="1" ht="20.100000000000001" customHeight="1" x14ac:dyDescent="0.25">
      <c r="B1465" s="477"/>
      <c r="C1465" s="560"/>
      <c r="D1465" s="61" t="s">
        <v>409</v>
      </c>
      <c r="E1465" s="339" t="s">
        <v>29</v>
      </c>
      <c r="F1465" s="482">
        <f>-1*1</f>
        <v>-1</v>
      </c>
      <c r="G1465" s="482"/>
      <c r="H1465" s="391">
        <f t="shared" si="80"/>
        <v>-1</v>
      </c>
    </row>
    <row r="1466" spans="2:8" s="69" customFormat="1" ht="20.100000000000001" customHeight="1" x14ac:dyDescent="0.25">
      <c r="B1466" s="477"/>
      <c r="C1466" s="560"/>
      <c r="D1466" s="61" t="s">
        <v>204</v>
      </c>
      <c r="E1466" s="339" t="s">
        <v>29</v>
      </c>
      <c r="F1466" s="482">
        <f>(3.115+2.1)*2</f>
        <v>10.43</v>
      </c>
      <c r="G1466" s="482"/>
      <c r="H1466" s="391">
        <f t="shared" si="80"/>
        <v>10.43</v>
      </c>
    </row>
    <row r="1467" spans="2:8" s="69" customFormat="1" ht="18.75" customHeight="1" x14ac:dyDescent="0.25">
      <c r="B1467" s="477"/>
      <c r="C1467" s="560"/>
      <c r="D1467" s="61" t="s">
        <v>406</v>
      </c>
      <c r="E1467" s="339" t="s">
        <v>29</v>
      </c>
      <c r="F1467" s="482">
        <v>-0.8</v>
      </c>
      <c r="G1467" s="482"/>
      <c r="H1467" s="391">
        <f t="shared" si="80"/>
        <v>-0.8</v>
      </c>
    </row>
    <row r="1468" spans="2:8" s="69" customFormat="1" ht="20.100000000000001" customHeight="1" x14ac:dyDescent="0.25">
      <c r="B1468" s="477"/>
      <c r="C1468" s="560"/>
      <c r="D1468" s="61" t="s">
        <v>143</v>
      </c>
      <c r="E1468" s="339" t="s">
        <v>29</v>
      </c>
      <c r="F1468" s="482">
        <v>19.95</v>
      </c>
      <c r="G1468" s="482"/>
      <c r="H1468" s="391">
        <f t="shared" si="80"/>
        <v>19.95</v>
      </c>
    </row>
    <row r="1469" spans="2:8" s="69" customFormat="1" ht="20.100000000000001" customHeight="1" x14ac:dyDescent="0.25">
      <c r="B1469" s="477"/>
      <c r="C1469" s="560"/>
      <c r="D1469" s="61" t="s">
        <v>144</v>
      </c>
      <c r="E1469" s="339" t="s">
        <v>29</v>
      </c>
      <c r="F1469" s="482">
        <v>19.95</v>
      </c>
      <c r="G1469" s="482"/>
      <c r="H1469" s="391">
        <f t="shared" si="80"/>
        <v>19.95</v>
      </c>
    </row>
    <row r="1470" spans="2:8" s="69" customFormat="1" ht="20.100000000000001" customHeight="1" x14ac:dyDescent="0.25">
      <c r="B1470" s="477"/>
      <c r="C1470" s="560"/>
      <c r="D1470" s="61" t="s">
        <v>147</v>
      </c>
      <c r="E1470" s="339" t="s">
        <v>29</v>
      </c>
      <c r="F1470" s="482">
        <f>(3.035+4.135)*2</f>
        <v>14.34</v>
      </c>
      <c r="G1470" s="482"/>
      <c r="H1470" s="391">
        <f t="shared" si="80"/>
        <v>14.34</v>
      </c>
    </row>
    <row r="1471" spans="2:8" s="69" customFormat="1" ht="20.100000000000001" customHeight="1" x14ac:dyDescent="0.25">
      <c r="B1471" s="477"/>
      <c r="C1471" s="560"/>
      <c r="D1471" s="61" t="s">
        <v>406</v>
      </c>
      <c r="E1471" s="339" t="s">
        <v>29</v>
      </c>
      <c r="F1471" s="482">
        <v>-0.8</v>
      </c>
      <c r="G1471" s="482"/>
      <c r="H1471" s="391">
        <f t="shared" si="80"/>
        <v>-0.8</v>
      </c>
    </row>
    <row r="1472" spans="2:8" s="69" customFormat="1" ht="20.100000000000001" customHeight="1" x14ac:dyDescent="0.25">
      <c r="B1472" s="477"/>
      <c r="C1472" s="560"/>
      <c r="D1472" s="61" t="s">
        <v>148</v>
      </c>
      <c r="E1472" s="339" t="s">
        <v>29</v>
      </c>
      <c r="F1472" s="482">
        <f>2*(2+3.015)</f>
        <v>10.030000000000001</v>
      </c>
      <c r="G1472" s="482"/>
      <c r="H1472" s="391">
        <f t="shared" si="80"/>
        <v>10.030000000000001</v>
      </c>
    </row>
    <row r="1473" spans="2:8" s="69" customFormat="1" ht="20.100000000000001" customHeight="1" x14ac:dyDescent="0.25">
      <c r="B1473" s="477"/>
      <c r="C1473" s="560"/>
      <c r="D1473" s="61" t="s">
        <v>406</v>
      </c>
      <c r="E1473" s="339" t="s">
        <v>29</v>
      </c>
      <c r="F1473" s="482">
        <v>-0.8</v>
      </c>
      <c r="G1473" s="482"/>
      <c r="H1473" s="391">
        <f t="shared" si="80"/>
        <v>-0.8</v>
      </c>
    </row>
    <row r="1474" spans="2:8" s="69" customFormat="1" ht="20.100000000000001" customHeight="1" x14ac:dyDescent="0.25">
      <c r="B1474" s="477"/>
      <c r="C1474" s="560"/>
      <c r="D1474" s="61" t="s">
        <v>149</v>
      </c>
      <c r="E1474" s="339" t="s">
        <v>29</v>
      </c>
      <c r="F1474" s="482">
        <f>2*(3.02+6.35)</f>
        <v>18.739999999999998</v>
      </c>
      <c r="G1474" s="482"/>
      <c r="H1474" s="391">
        <f t="shared" si="80"/>
        <v>18.739999999999998</v>
      </c>
    </row>
    <row r="1475" spans="2:8" s="69" customFormat="1" ht="20.100000000000001" customHeight="1" x14ac:dyDescent="0.25">
      <c r="B1475" s="477"/>
      <c r="C1475" s="560"/>
      <c r="D1475" s="61" t="s">
        <v>406</v>
      </c>
      <c r="E1475" s="339" t="s">
        <v>29</v>
      </c>
      <c r="F1475" s="482">
        <v>-0.8</v>
      </c>
      <c r="G1475" s="482"/>
      <c r="H1475" s="391">
        <f t="shared" si="80"/>
        <v>-0.8</v>
      </c>
    </row>
    <row r="1476" spans="2:8" s="69" customFormat="1" ht="20.100000000000001" customHeight="1" x14ac:dyDescent="0.25">
      <c r="B1476" s="477"/>
      <c r="C1476" s="560"/>
      <c r="D1476" s="61" t="s">
        <v>209</v>
      </c>
      <c r="E1476" s="339" t="s">
        <v>29</v>
      </c>
      <c r="F1476" s="482">
        <v>23.55</v>
      </c>
      <c r="G1476" s="482"/>
      <c r="H1476" s="391">
        <f t="shared" si="80"/>
        <v>23.55</v>
      </c>
    </row>
    <row r="1477" spans="2:8" s="69" customFormat="1" ht="20.100000000000001" customHeight="1" x14ac:dyDescent="0.25">
      <c r="B1477" s="477"/>
      <c r="C1477" s="560"/>
      <c r="D1477" s="61" t="s">
        <v>407</v>
      </c>
      <c r="E1477" s="339" t="s">
        <v>29</v>
      </c>
      <c r="F1477" s="482">
        <v>-2</v>
      </c>
      <c r="G1477" s="482"/>
      <c r="H1477" s="391">
        <f t="shared" si="80"/>
        <v>-2</v>
      </c>
    </row>
    <row r="1478" spans="2:8" s="69" customFormat="1" ht="20.100000000000001" customHeight="1" x14ac:dyDescent="0.25">
      <c r="B1478" s="477"/>
      <c r="C1478" s="560"/>
      <c r="D1478" s="61" t="s">
        <v>284</v>
      </c>
      <c r="E1478" s="339" t="s">
        <v>29</v>
      </c>
      <c r="F1478" s="482">
        <v>23.55</v>
      </c>
      <c r="G1478" s="482"/>
      <c r="H1478" s="391">
        <f t="shared" si="80"/>
        <v>23.55</v>
      </c>
    </row>
    <row r="1479" spans="2:8" s="69" customFormat="1" ht="20.100000000000001" customHeight="1" x14ac:dyDescent="0.25">
      <c r="B1479" s="477"/>
      <c r="C1479" s="560"/>
      <c r="D1479" s="61" t="s">
        <v>410</v>
      </c>
      <c r="E1479" s="339" t="s">
        <v>29</v>
      </c>
      <c r="F1479" s="482">
        <v>-2</v>
      </c>
      <c r="G1479" s="482"/>
      <c r="H1479" s="391">
        <f t="shared" si="80"/>
        <v>-2</v>
      </c>
    </row>
    <row r="1480" spans="2:8" s="69" customFormat="1" ht="20.100000000000001" customHeight="1" x14ac:dyDescent="0.25">
      <c r="B1480" s="477"/>
      <c r="C1480" s="560"/>
      <c r="D1480" s="61" t="s">
        <v>200</v>
      </c>
      <c r="E1480" s="339" t="s">
        <v>29</v>
      </c>
      <c r="F1480" s="482">
        <f>2*(2.2+1.26)</f>
        <v>6.92</v>
      </c>
      <c r="G1480" s="482"/>
      <c r="H1480" s="391">
        <f t="shared" si="80"/>
        <v>6.92</v>
      </c>
    </row>
    <row r="1481" spans="2:8" s="69" customFormat="1" ht="20.100000000000001" customHeight="1" x14ac:dyDescent="0.25">
      <c r="B1481" s="479"/>
      <c r="C1481" s="561"/>
      <c r="D1481" s="61" t="s">
        <v>411</v>
      </c>
      <c r="E1481" s="339" t="s">
        <v>29</v>
      </c>
      <c r="F1481" s="482">
        <v>-1.2</v>
      </c>
      <c r="G1481" s="482"/>
      <c r="H1481" s="391">
        <f t="shared" si="80"/>
        <v>-1.2</v>
      </c>
    </row>
    <row r="1482" spans="2:8" s="69" customFormat="1" ht="20.100000000000001" customHeight="1" x14ac:dyDescent="0.25">
      <c r="B1482" s="386" t="s">
        <v>991</v>
      </c>
      <c r="C1482" s="163">
        <v>221102</v>
      </c>
      <c r="D1482" s="80" t="s">
        <v>301</v>
      </c>
      <c r="E1482" s="162" t="s">
        <v>29</v>
      </c>
      <c r="F1482" s="455" t="s">
        <v>26</v>
      </c>
      <c r="G1482" s="455"/>
      <c r="H1482" s="387">
        <f>SUM(H1483:H1492)</f>
        <v>201.03999999999996</v>
      </c>
    </row>
    <row r="1483" spans="2:8" s="69" customFormat="1" ht="20.100000000000001" customHeight="1" x14ac:dyDescent="0.25">
      <c r="B1483" s="475"/>
      <c r="C1483" s="559"/>
      <c r="D1483" s="64" t="s">
        <v>302</v>
      </c>
      <c r="E1483" s="339" t="s">
        <v>29</v>
      </c>
      <c r="F1483" s="482">
        <v>127.8</v>
      </c>
      <c r="G1483" s="482"/>
      <c r="H1483" s="391">
        <f t="shared" ref="H1483:H1492" si="81">F1483</f>
        <v>127.8</v>
      </c>
    </row>
    <row r="1484" spans="2:8" s="69" customFormat="1" ht="20.100000000000001" customHeight="1" x14ac:dyDescent="0.25">
      <c r="B1484" s="477"/>
      <c r="C1484" s="560"/>
      <c r="D1484" s="61" t="s">
        <v>412</v>
      </c>
      <c r="E1484" s="339" t="s">
        <v>29</v>
      </c>
      <c r="F1484" s="482">
        <v>-10</v>
      </c>
      <c r="G1484" s="482"/>
      <c r="H1484" s="391">
        <f t="shared" si="81"/>
        <v>-10</v>
      </c>
    </row>
    <row r="1485" spans="2:8" s="69" customFormat="1" ht="20.100000000000001" customHeight="1" x14ac:dyDescent="0.25">
      <c r="B1485" s="477"/>
      <c r="C1485" s="560"/>
      <c r="D1485" s="61" t="s">
        <v>413</v>
      </c>
      <c r="E1485" s="339" t="s">
        <v>29</v>
      </c>
      <c r="F1485" s="482">
        <f>-3*0.8</f>
        <v>-2.4000000000000004</v>
      </c>
      <c r="G1485" s="482"/>
      <c r="H1485" s="391">
        <f t="shared" si="81"/>
        <v>-2.4000000000000004</v>
      </c>
    </row>
    <row r="1486" spans="2:8" s="69" customFormat="1" ht="20.100000000000001" customHeight="1" x14ac:dyDescent="0.25">
      <c r="B1486" s="477"/>
      <c r="C1486" s="560"/>
      <c r="D1486" s="61" t="s">
        <v>303</v>
      </c>
      <c r="E1486" s="339" t="s">
        <v>29</v>
      </c>
      <c r="F1486" s="482">
        <v>-1.62</v>
      </c>
      <c r="G1486" s="482"/>
      <c r="H1486" s="391">
        <f t="shared" si="81"/>
        <v>-1.62</v>
      </c>
    </row>
    <row r="1487" spans="2:8" s="69" customFormat="1" ht="20.100000000000001" customHeight="1" x14ac:dyDescent="0.25">
      <c r="B1487" s="477"/>
      <c r="C1487" s="560"/>
      <c r="D1487" s="61" t="s">
        <v>281</v>
      </c>
      <c r="E1487" s="339" t="s">
        <v>29</v>
      </c>
      <c r="F1487" s="482">
        <f>32.7</f>
        <v>32.700000000000003</v>
      </c>
      <c r="G1487" s="482"/>
      <c r="H1487" s="391">
        <f t="shared" si="81"/>
        <v>32.700000000000003</v>
      </c>
    </row>
    <row r="1488" spans="2:8" s="69" customFormat="1" ht="20.100000000000001" customHeight="1" x14ac:dyDescent="0.25">
      <c r="B1488" s="477"/>
      <c r="C1488" s="560"/>
      <c r="D1488" s="61" t="s">
        <v>414</v>
      </c>
      <c r="E1488" s="339" t="s">
        <v>29</v>
      </c>
      <c r="F1488" s="482">
        <f>-2*1.26</f>
        <v>-2.52</v>
      </c>
      <c r="G1488" s="482"/>
      <c r="H1488" s="391">
        <f t="shared" si="81"/>
        <v>-2.52</v>
      </c>
    </row>
    <row r="1489" spans="2:8" s="69" customFormat="1" ht="20.100000000000001" customHeight="1" x14ac:dyDescent="0.25">
      <c r="B1489" s="477"/>
      <c r="C1489" s="560"/>
      <c r="D1489" s="61" t="s">
        <v>282</v>
      </c>
      <c r="E1489" s="339" t="s">
        <v>29</v>
      </c>
      <c r="F1489" s="482">
        <v>49.14</v>
      </c>
      <c r="G1489" s="482"/>
      <c r="H1489" s="391">
        <f t="shared" si="81"/>
        <v>49.14</v>
      </c>
    </row>
    <row r="1490" spans="2:8" s="69" customFormat="1" ht="20.100000000000001" customHeight="1" x14ac:dyDescent="0.25">
      <c r="B1490" s="477"/>
      <c r="C1490" s="560"/>
      <c r="D1490" s="61" t="s">
        <v>401</v>
      </c>
      <c r="E1490" s="339" t="s">
        <v>29</v>
      </c>
      <c r="F1490" s="482">
        <v>-1</v>
      </c>
      <c r="G1490" s="482"/>
      <c r="H1490" s="391">
        <f t="shared" si="81"/>
        <v>-1</v>
      </c>
    </row>
    <row r="1491" spans="2:8" s="69" customFormat="1" ht="20.100000000000001" customHeight="1" x14ac:dyDescent="0.25">
      <c r="B1491" s="477"/>
      <c r="C1491" s="560"/>
      <c r="D1491" s="61" t="s">
        <v>304</v>
      </c>
      <c r="E1491" s="339" t="s">
        <v>29</v>
      </c>
      <c r="F1491" s="482">
        <v>10.54</v>
      </c>
      <c r="G1491" s="482"/>
      <c r="H1491" s="391">
        <f t="shared" si="81"/>
        <v>10.54</v>
      </c>
    </row>
    <row r="1492" spans="2:8" s="69" customFormat="1" ht="20.100000000000001" customHeight="1" x14ac:dyDescent="0.25">
      <c r="B1492" s="479"/>
      <c r="C1492" s="561"/>
      <c r="D1492" s="61" t="s">
        <v>415</v>
      </c>
      <c r="E1492" s="339" t="s">
        <v>29</v>
      </c>
      <c r="F1492" s="482">
        <v>-1.6</v>
      </c>
      <c r="G1492" s="482"/>
      <c r="H1492" s="391">
        <f t="shared" si="81"/>
        <v>-1.6</v>
      </c>
    </row>
    <row r="1493" spans="2:8" s="69" customFormat="1" ht="20.100000000000001" customHeight="1" x14ac:dyDescent="0.25">
      <c r="B1493" s="386" t="s">
        <v>1070</v>
      </c>
      <c r="C1493" s="163">
        <v>221126</v>
      </c>
      <c r="D1493" s="80" t="s">
        <v>1071</v>
      </c>
      <c r="E1493" s="162" t="s">
        <v>24</v>
      </c>
      <c r="F1493" s="330" t="s">
        <v>26</v>
      </c>
      <c r="G1493" s="330" t="s">
        <v>27</v>
      </c>
      <c r="H1493" s="387">
        <f>SUM(H1494:H1495)</f>
        <v>8.91</v>
      </c>
    </row>
    <row r="1494" spans="2:8" s="69" customFormat="1" ht="20.100000000000001" customHeight="1" x14ac:dyDescent="0.25">
      <c r="B1494" s="475"/>
      <c r="C1494" s="476"/>
      <c r="D1494" s="61" t="s">
        <v>1072</v>
      </c>
      <c r="E1494" s="339" t="s">
        <v>24</v>
      </c>
      <c r="F1494" s="337">
        <v>1.2</v>
      </c>
      <c r="G1494" s="337">
        <v>0.25</v>
      </c>
      <c r="H1494" s="391">
        <f>G1494*F1494</f>
        <v>0.3</v>
      </c>
    </row>
    <row r="1495" spans="2:8" s="69" customFormat="1" ht="18.75" customHeight="1" x14ac:dyDescent="0.25">
      <c r="B1495" s="479"/>
      <c r="C1495" s="480"/>
      <c r="D1495" s="61" t="s">
        <v>1073</v>
      </c>
      <c r="E1495" s="339" t="s">
        <v>24</v>
      </c>
      <c r="F1495" s="337">
        <v>28.7</v>
      </c>
      <c r="G1495" s="337">
        <v>0.3</v>
      </c>
      <c r="H1495" s="391">
        <f>G1495*F1495</f>
        <v>8.61</v>
      </c>
    </row>
    <row r="1496" spans="2:8" s="69" customFormat="1" ht="20.100000000000001" customHeight="1" x14ac:dyDescent="0.25">
      <c r="B1496" s="514" t="s">
        <v>211</v>
      </c>
      <c r="C1496" s="492"/>
      <c r="D1496" s="492"/>
      <c r="E1496" s="492"/>
      <c r="F1496" s="492"/>
      <c r="G1496" s="492"/>
      <c r="H1496" s="538"/>
    </row>
    <row r="1497" spans="2:8" s="69" customFormat="1" ht="20.100000000000001" customHeight="1" x14ac:dyDescent="0.25">
      <c r="B1497" s="377">
        <v>18</v>
      </c>
      <c r="C1497" s="233">
        <v>230000</v>
      </c>
      <c r="D1497" s="491" t="s">
        <v>87</v>
      </c>
      <c r="E1497" s="492"/>
      <c r="F1497" s="492"/>
      <c r="G1497" s="493"/>
      <c r="H1497" s="395" t="s">
        <v>6</v>
      </c>
    </row>
    <row r="1498" spans="2:8" s="69" customFormat="1" ht="20.100000000000001" customHeight="1" x14ac:dyDescent="0.25">
      <c r="B1498" s="386" t="s">
        <v>86</v>
      </c>
      <c r="C1498" s="163">
        <v>230101</v>
      </c>
      <c r="D1498" s="78" t="s">
        <v>317</v>
      </c>
      <c r="E1498" s="79" t="s">
        <v>309</v>
      </c>
      <c r="F1498" s="481" t="s">
        <v>308</v>
      </c>
      <c r="G1498" s="481"/>
      <c r="H1498" s="387">
        <f>SUM(H1499:H1517)</f>
        <v>26</v>
      </c>
    </row>
    <row r="1499" spans="2:8" s="69" customFormat="1" ht="20.100000000000001" customHeight="1" x14ac:dyDescent="0.25">
      <c r="B1499" s="447"/>
      <c r="C1499" s="448"/>
      <c r="D1499" s="83" t="s">
        <v>128</v>
      </c>
      <c r="E1499" s="67" t="s">
        <v>309</v>
      </c>
      <c r="F1499" s="446">
        <v>1</v>
      </c>
      <c r="G1499" s="446"/>
      <c r="H1499" s="402">
        <f>F1499</f>
        <v>1</v>
      </c>
    </row>
    <row r="1500" spans="2:8" s="69" customFormat="1" ht="20.100000000000001" customHeight="1" x14ac:dyDescent="0.25">
      <c r="B1500" s="447"/>
      <c r="C1500" s="448"/>
      <c r="D1500" s="83" t="s">
        <v>315</v>
      </c>
      <c r="E1500" s="67" t="s">
        <v>309</v>
      </c>
      <c r="F1500" s="446">
        <v>2</v>
      </c>
      <c r="G1500" s="446"/>
      <c r="H1500" s="402">
        <f t="shared" ref="H1500:H1517" si="82">F1500</f>
        <v>2</v>
      </c>
    </row>
    <row r="1501" spans="2:8" s="69" customFormat="1" ht="20.100000000000001" customHeight="1" x14ac:dyDescent="0.25">
      <c r="B1501" s="447"/>
      <c r="C1501" s="448"/>
      <c r="D1501" s="83" t="s">
        <v>129</v>
      </c>
      <c r="E1501" s="67" t="s">
        <v>309</v>
      </c>
      <c r="F1501" s="446">
        <v>1</v>
      </c>
      <c r="G1501" s="446"/>
      <c r="H1501" s="402">
        <f t="shared" si="82"/>
        <v>1</v>
      </c>
    </row>
    <row r="1502" spans="2:8" s="69" customFormat="1" ht="20.100000000000001" customHeight="1" x14ac:dyDescent="0.25">
      <c r="B1502" s="447"/>
      <c r="C1502" s="448"/>
      <c r="D1502" s="83" t="s">
        <v>120</v>
      </c>
      <c r="E1502" s="67" t="s">
        <v>309</v>
      </c>
      <c r="F1502" s="446">
        <v>1</v>
      </c>
      <c r="G1502" s="446"/>
      <c r="H1502" s="402">
        <f t="shared" si="82"/>
        <v>1</v>
      </c>
    </row>
    <row r="1503" spans="2:8" s="69" customFormat="1" ht="20.100000000000001" customHeight="1" x14ac:dyDescent="0.25">
      <c r="B1503" s="447"/>
      <c r="C1503" s="448"/>
      <c r="D1503" s="83" t="s">
        <v>316</v>
      </c>
      <c r="E1503" s="67" t="s">
        <v>309</v>
      </c>
      <c r="F1503" s="446">
        <v>2</v>
      </c>
      <c r="G1503" s="446"/>
      <c r="H1503" s="402">
        <f t="shared" si="82"/>
        <v>2</v>
      </c>
    </row>
    <row r="1504" spans="2:8" s="69" customFormat="1" ht="20.100000000000001" customHeight="1" x14ac:dyDescent="0.25">
      <c r="B1504" s="447"/>
      <c r="C1504" s="448"/>
      <c r="D1504" s="83" t="s">
        <v>189</v>
      </c>
      <c r="E1504" s="67" t="s">
        <v>309</v>
      </c>
      <c r="F1504" s="446">
        <v>1</v>
      </c>
      <c r="G1504" s="446"/>
      <c r="H1504" s="402">
        <f t="shared" si="82"/>
        <v>1</v>
      </c>
    </row>
    <row r="1505" spans="2:8" s="69" customFormat="1" ht="20.100000000000001" customHeight="1" x14ac:dyDescent="0.25">
      <c r="B1505" s="447"/>
      <c r="C1505" s="448"/>
      <c r="D1505" s="83" t="s">
        <v>137</v>
      </c>
      <c r="E1505" s="67" t="s">
        <v>309</v>
      </c>
      <c r="F1505" s="446">
        <v>1</v>
      </c>
      <c r="G1505" s="446"/>
      <c r="H1505" s="402">
        <f t="shared" si="82"/>
        <v>1</v>
      </c>
    </row>
    <row r="1506" spans="2:8" s="69" customFormat="1" ht="20.100000000000001" customHeight="1" x14ac:dyDescent="0.25">
      <c r="B1506" s="447"/>
      <c r="C1506" s="448"/>
      <c r="D1506" s="83" t="s">
        <v>297</v>
      </c>
      <c r="E1506" s="67" t="s">
        <v>309</v>
      </c>
      <c r="F1506" s="446">
        <v>1</v>
      </c>
      <c r="G1506" s="446"/>
      <c r="H1506" s="402">
        <f t="shared" si="82"/>
        <v>1</v>
      </c>
    </row>
    <row r="1507" spans="2:8" s="69" customFormat="1" ht="20.100000000000001" customHeight="1" x14ac:dyDescent="0.25">
      <c r="B1507" s="447"/>
      <c r="C1507" s="448"/>
      <c r="D1507" s="83" t="s">
        <v>186</v>
      </c>
      <c r="E1507" s="67" t="s">
        <v>309</v>
      </c>
      <c r="F1507" s="446">
        <v>2</v>
      </c>
      <c r="G1507" s="446"/>
      <c r="H1507" s="402">
        <f t="shared" si="82"/>
        <v>2</v>
      </c>
    </row>
    <row r="1508" spans="2:8" s="69" customFormat="1" ht="20.100000000000001" customHeight="1" x14ac:dyDescent="0.25">
      <c r="B1508" s="447"/>
      <c r="C1508" s="448"/>
      <c r="D1508" s="83" t="s">
        <v>205</v>
      </c>
      <c r="E1508" s="67" t="s">
        <v>309</v>
      </c>
      <c r="F1508" s="446">
        <v>3</v>
      </c>
      <c r="G1508" s="446"/>
      <c r="H1508" s="402">
        <f t="shared" si="82"/>
        <v>3</v>
      </c>
    </row>
    <row r="1509" spans="2:8" s="69" customFormat="1" ht="20.100000000000001" customHeight="1" x14ac:dyDescent="0.25">
      <c r="B1509" s="447"/>
      <c r="C1509" s="448"/>
      <c r="D1509" s="83" t="s">
        <v>121</v>
      </c>
      <c r="E1509" s="67" t="s">
        <v>309</v>
      </c>
      <c r="F1509" s="446">
        <v>1</v>
      </c>
      <c r="G1509" s="446"/>
      <c r="H1509" s="402">
        <f t="shared" si="82"/>
        <v>1</v>
      </c>
    </row>
    <row r="1510" spans="2:8" s="69" customFormat="1" ht="20.100000000000001" customHeight="1" x14ac:dyDescent="0.25">
      <c r="B1510" s="447"/>
      <c r="C1510" s="448"/>
      <c r="D1510" s="83" t="s">
        <v>141</v>
      </c>
      <c r="E1510" s="67" t="s">
        <v>309</v>
      </c>
      <c r="F1510" s="446">
        <v>1</v>
      </c>
      <c r="G1510" s="446"/>
      <c r="H1510" s="402">
        <f t="shared" si="82"/>
        <v>1</v>
      </c>
    </row>
    <row r="1511" spans="2:8" s="69" customFormat="1" ht="20.100000000000001" customHeight="1" x14ac:dyDescent="0.25">
      <c r="B1511" s="447"/>
      <c r="C1511" s="448"/>
      <c r="D1511" s="83" t="s">
        <v>163</v>
      </c>
      <c r="E1511" s="67" t="s">
        <v>309</v>
      </c>
      <c r="F1511" s="446">
        <v>2</v>
      </c>
      <c r="G1511" s="446"/>
      <c r="H1511" s="402">
        <f t="shared" si="82"/>
        <v>2</v>
      </c>
    </row>
    <row r="1512" spans="2:8" s="69" customFormat="1" ht="20.100000000000001" customHeight="1" x14ac:dyDescent="0.25">
      <c r="B1512" s="447"/>
      <c r="C1512" s="448"/>
      <c r="D1512" s="83" t="s">
        <v>164</v>
      </c>
      <c r="E1512" s="67" t="s">
        <v>309</v>
      </c>
      <c r="F1512" s="446">
        <v>2</v>
      </c>
      <c r="G1512" s="446"/>
      <c r="H1512" s="402">
        <f t="shared" si="82"/>
        <v>2</v>
      </c>
    </row>
    <row r="1513" spans="2:8" s="69" customFormat="1" ht="20.100000000000001" customHeight="1" x14ac:dyDescent="0.25">
      <c r="B1513" s="447"/>
      <c r="C1513" s="448"/>
      <c r="D1513" s="83" t="s">
        <v>310</v>
      </c>
      <c r="E1513" s="67" t="s">
        <v>309</v>
      </c>
      <c r="F1513" s="446">
        <v>1</v>
      </c>
      <c r="G1513" s="446"/>
      <c r="H1513" s="402">
        <f t="shared" si="82"/>
        <v>1</v>
      </c>
    </row>
    <row r="1514" spans="2:8" s="69" customFormat="1" ht="20.100000000000001" customHeight="1" x14ac:dyDescent="0.25">
      <c r="B1514" s="447"/>
      <c r="C1514" s="448"/>
      <c r="D1514" s="83" t="s">
        <v>147</v>
      </c>
      <c r="E1514" s="67" t="s">
        <v>309</v>
      </c>
      <c r="F1514" s="446">
        <v>1</v>
      </c>
      <c r="G1514" s="446"/>
      <c r="H1514" s="402">
        <f t="shared" si="82"/>
        <v>1</v>
      </c>
    </row>
    <row r="1515" spans="2:8" s="69" customFormat="1" ht="20.100000000000001" customHeight="1" x14ac:dyDescent="0.25">
      <c r="B1515" s="447"/>
      <c r="C1515" s="448"/>
      <c r="D1515" s="83" t="s">
        <v>311</v>
      </c>
      <c r="E1515" s="67" t="s">
        <v>309</v>
      </c>
      <c r="F1515" s="446">
        <v>1</v>
      </c>
      <c r="G1515" s="446"/>
      <c r="H1515" s="402">
        <f t="shared" si="82"/>
        <v>1</v>
      </c>
    </row>
    <row r="1516" spans="2:8" s="69" customFormat="1" ht="20.100000000000001" customHeight="1" x14ac:dyDescent="0.25">
      <c r="B1516" s="447"/>
      <c r="C1516" s="448"/>
      <c r="D1516" s="83" t="s">
        <v>312</v>
      </c>
      <c r="E1516" s="67" t="s">
        <v>309</v>
      </c>
      <c r="F1516" s="446">
        <v>1</v>
      </c>
      <c r="G1516" s="446"/>
      <c r="H1516" s="402">
        <f t="shared" si="82"/>
        <v>1</v>
      </c>
    </row>
    <row r="1517" spans="2:8" s="69" customFormat="1" ht="20.100000000000001" customHeight="1" x14ac:dyDescent="0.25">
      <c r="B1517" s="447"/>
      <c r="C1517" s="448"/>
      <c r="D1517" s="83" t="s">
        <v>142</v>
      </c>
      <c r="E1517" s="67" t="s">
        <v>309</v>
      </c>
      <c r="F1517" s="446">
        <v>1</v>
      </c>
      <c r="G1517" s="446"/>
      <c r="H1517" s="402">
        <f t="shared" si="82"/>
        <v>1</v>
      </c>
    </row>
    <row r="1518" spans="2:8" s="69" customFormat="1" ht="20.100000000000001" customHeight="1" x14ac:dyDescent="0.25">
      <c r="B1518" s="386" t="s">
        <v>90</v>
      </c>
      <c r="C1518" s="163">
        <v>230201</v>
      </c>
      <c r="D1518" s="78" t="s">
        <v>321</v>
      </c>
      <c r="E1518" s="79" t="s">
        <v>309</v>
      </c>
      <c r="F1518" s="481" t="s">
        <v>308</v>
      </c>
      <c r="G1518" s="481"/>
      <c r="H1518" s="387">
        <f>SUM(H1519:H1537)</f>
        <v>78</v>
      </c>
    </row>
    <row r="1519" spans="2:8" s="69" customFormat="1" ht="20.100000000000001" customHeight="1" x14ac:dyDescent="0.25">
      <c r="B1519" s="447"/>
      <c r="C1519" s="448"/>
      <c r="D1519" s="83" t="s">
        <v>128</v>
      </c>
      <c r="E1519" s="67" t="s">
        <v>309</v>
      </c>
      <c r="F1519" s="446">
        <v>3</v>
      </c>
      <c r="G1519" s="446"/>
      <c r="H1519" s="402">
        <f>F1519</f>
        <v>3</v>
      </c>
    </row>
    <row r="1520" spans="2:8" s="69" customFormat="1" ht="20.100000000000001" customHeight="1" x14ac:dyDescent="0.25">
      <c r="B1520" s="447"/>
      <c r="C1520" s="448"/>
      <c r="D1520" s="83" t="s">
        <v>315</v>
      </c>
      <c r="E1520" s="67" t="s">
        <v>309</v>
      </c>
      <c r="F1520" s="446">
        <v>6</v>
      </c>
      <c r="G1520" s="446"/>
      <c r="H1520" s="402">
        <f t="shared" ref="H1520:H1537" si="83">F1520</f>
        <v>6</v>
      </c>
    </row>
    <row r="1521" spans="1:8" s="69" customFormat="1" ht="20.100000000000001" customHeight="1" x14ac:dyDescent="0.25">
      <c r="B1521" s="447"/>
      <c r="C1521" s="448"/>
      <c r="D1521" s="83" t="s">
        <v>129</v>
      </c>
      <c r="E1521" s="67" t="s">
        <v>309</v>
      </c>
      <c r="F1521" s="446">
        <v>3</v>
      </c>
      <c r="G1521" s="446"/>
      <c r="H1521" s="402">
        <f t="shared" si="83"/>
        <v>3</v>
      </c>
    </row>
    <row r="1522" spans="1:8" s="69" customFormat="1" ht="20.100000000000001" customHeight="1" x14ac:dyDescent="0.25">
      <c r="B1522" s="447"/>
      <c r="C1522" s="448"/>
      <c r="D1522" s="83" t="s">
        <v>120</v>
      </c>
      <c r="E1522" s="67" t="s">
        <v>309</v>
      </c>
      <c r="F1522" s="446">
        <v>3</v>
      </c>
      <c r="G1522" s="446"/>
      <c r="H1522" s="402">
        <f t="shared" si="83"/>
        <v>3</v>
      </c>
    </row>
    <row r="1523" spans="1:8" s="69" customFormat="1" ht="20.100000000000001" customHeight="1" x14ac:dyDescent="0.25">
      <c r="B1523" s="447"/>
      <c r="C1523" s="448"/>
      <c r="D1523" s="83" t="s">
        <v>316</v>
      </c>
      <c r="E1523" s="67" t="s">
        <v>309</v>
      </c>
      <c r="F1523" s="446">
        <v>6</v>
      </c>
      <c r="G1523" s="446"/>
      <c r="H1523" s="402">
        <f t="shared" si="83"/>
        <v>6</v>
      </c>
    </row>
    <row r="1524" spans="1:8" s="65" customFormat="1" ht="20.100000000000001" customHeight="1" x14ac:dyDescent="0.25">
      <c r="A1524" s="69"/>
      <c r="B1524" s="447"/>
      <c r="C1524" s="448"/>
      <c r="D1524" s="83" t="s">
        <v>189</v>
      </c>
      <c r="E1524" s="67" t="s">
        <v>309</v>
      </c>
      <c r="F1524" s="446">
        <v>3</v>
      </c>
      <c r="G1524" s="446"/>
      <c r="H1524" s="402">
        <f t="shared" si="83"/>
        <v>3</v>
      </c>
    </row>
    <row r="1525" spans="1:8" s="65" customFormat="1" ht="20.100000000000001" customHeight="1" x14ac:dyDescent="0.25">
      <c r="A1525" s="69"/>
      <c r="B1525" s="447"/>
      <c r="C1525" s="448"/>
      <c r="D1525" s="83" t="s">
        <v>137</v>
      </c>
      <c r="E1525" s="67" t="s">
        <v>309</v>
      </c>
      <c r="F1525" s="446">
        <v>3</v>
      </c>
      <c r="G1525" s="446"/>
      <c r="H1525" s="402">
        <f t="shared" si="83"/>
        <v>3</v>
      </c>
    </row>
    <row r="1526" spans="1:8" s="65" customFormat="1" ht="20.100000000000001" customHeight="1" x14ac:dyDescent="0.25">
      <c r="A1526" s="69"/>
      <c r="B1526" s="447"/>
      <c r="C1526" s="448"/>
      <c r="D1526" s="83" t="s">
        <v>297</v>
      </c>
      <c r="E1526" s="67" t="s">
        <v>309</v>
      </c>
      <c r="F1526" s="446">
        <v>3</v>
      </c>
      <c r="G1526" s="446"/>
      <c r="H1526" s="402">
        <f t="shared" si="83"/>
        <v>3</v>
      </c>
    </row>
    <row r="1527" spans="1:8" s="65" customFormat="1" ht="20.100000000000001" customHeight="1" x14ac:dyDescent="0.25">
      <c r="B1527" s="447"/>
      <c r="C1527" s="448"/>
      <c r="D1527" s="83" t="s">
        <v>186</v>
      </c>
      <c r="E1527" s="67" t="s">
        <v>309</v>
      </c>
      <c r="F1527" s="446">
        <v>6</v>
      </c>
      <c r="G1527" s="446"/>
      <c r="H1527" s="402">
        <f t="shared" si="83"/>
        <v>6</v>
      </c>
    </row>
    <row r="1528" spans="1:8" s="65" customFormat="1" ht="20.100000000000001" customHeight="1" x14ac:dyDescent="0.25">
      <c r="B1528" s="447"/>
      <c r="C1528" s="448"/>
      <c r="D1528" s="83" t="s">
        <v>205</v>
      </c>
      <c r="E1528" s="67" t="s">
        <v>309</v>
      </c>
      <c r="F1528" s="446">
        <v>9</v>
      </c>
      <c r="G1528" s="446"/>
      <c r="H1528" s="402">
        <f t="shared" si="83"/>
        <v>9</v>
      </c>
    </row>
    <row r="1529" spans="1:8" s="65" customFormat="1" ht="20.100000000000001" customHeight="1" x14ac:dyDescent="0.25">
      <c r="B1529" s="447"/>
      <c r="C1529" s="448"/>
      <c r="D1529" s="83" t="s">
        <v>121</v>
      </c>
      <c r="E1529" s="67" t="s">
        <v>309</v>
      </c>
      <c r="F1529" s="446">
        <v>3</v>
      </c>
      <c r="G1529" s="446"/>
      <c r="H1529" s="402">
        <f t="shared" si="83"/>
        <v>3</v>
      </c>
    </row>
    <row r="1530" spans="1:8" s="65" customFormat="1" ht="20.100000000000001" customHeight="1" x14ac:dyDescent="0.25">
      <c r="B1530" s="447"/>
      <c r="C1530" s="448"/>
      <c r="D1530" s="83" t="s">
        <v>141</v>
      </c>
      <c r="E1530" s="67" t="s">
        <v>309</v>
      </c>
      <c r="F1530" s="446">
        <v>3</v>
      </c>
      <c r="G1530" s="446"/>
      <c r="H1530" s="402">
        <f t="shared" si="83"/>
        <v>3</v>
      </c>
    </row>
    <row r="1531" spans="1:8" s="65" customFormat="1" ht="20.100000000000001" customHeight="1" x14ac:dyDescent="0.25">
      <c r="B1531" s="447"/>
      <c r="C1531" s="448"/>
      <c r="D1531" s="83" t="s">
        <v>163</v>
      </c>
      <c r="E1531" s="67" t="s">
        <v>309</v>
      </c>
      <c r="F1531" s="446">
        <v>6</v>
      </c>
      <c r="G1531" s="446"/>
      <c r="H1531" s="402">
        <f t="shared" si="83"/>
        <v>6</v>
      </c>
    </row>
    <row r="1532" spans="1:8" s="65" customFormat="1" ht="20.100000000000001" customHeight="1" x14ac:dyDescent="0.25">
      <c r="B1532" s="447"/>
      <c r="C1532" s="448"/>
      <c r="D1532" s="83" t="s">
        <v>164</v>
      </c>
      <c r="E1532" s="67" t="s">
        <v>309</v>
      </c>
      <c r="F1532" s="446">
        <v>6</v>
      </c>
      <c r="G1532" s="446"/>
      <c r="H1532" s="402">
        <f t="shared" si="83"/>
        <v>6</v>
      </c>
    </row>
    <row r="1533" spans="1:8" s="65" customFormat="1" ht="20.100000000000001" customHeight="1" x14ac:dyDescent="0.25">
      <c r="B1533" s="447"/>
      <c r="C1533" s="448"/>
      <c r="D1533" s="83" t="s">
        <v>310</v>
      </c>
      <c r="E1533" s="67" t="s">
        <v>309</v>
      </c>
      <c r="F1533" s="446">
        <v>3</v>
      </c>
      <c r="G1533" s="446"/>
      <c r="H1533" s="402">
        <f t="shared" si="83"/>
        <v>3</v>
      </c>
    </row>
    <row r="1534" spans="1:8" s="65" customFormat="1" ht="20.100000000000001" customHeight="1" x14ac:dyDescent="0.25">
      <c r="B1534" s="447"/>
      <c r="C1534" s="448"/>
      <c r="D1534" s="83" t="s">
        <v>147</v>
      </c>
      <c r="E1534" s="67" t="s">
        <v>309</v>
      </c>
      <c r="F1534" s="446">
        <v>3</v>
      </c>
      <c r="G1534" s="446"/>
      <c r="H1534" s="402">
        <f t="shared" si="83"/>
        <v>3</v>
      </c>
    </row>
    <row r="1535" spans="1:8" s="65" customFormat="1" ht="20.100000000000001" customHeight="1" x14ac:dyDescent="0.25">
      <c r="B1535" s="447"/>
      <c r="C1535" s="448"/>
      <c r="D1535" s="83" t="s">
        <v>311</v>
      </c>
      <c r="E1535" s="67" t="s">
        <v>309</v>
      </c>
      <c r="F1535" s="446">
        <v>3</v>
      </c>
      <c r="G1535" s="446"/>
      <c r="H1535" s="402">
        <f t="shared" si="83"/>
        <v>3</v>
      </c>
    </row>
    <row r="1536" spans="1:8" s="65" customFormat="1" ht="20.100000000000001" customHeight="1" x14ac:dyDescent="0.25">
      <c r="B1536" s="447"/>
      <c r="C1536" s="448"/>
      <c r="D1536" s="83" t="s">
        <v>312</v>
      </c>
      <c r="E1536" s="67" t="s">
        <v>309</v>
      </c>
      <c r="F1536" s="446">
        <v>3</v>
      </c>
      <c r="G1536" s="446"/>
      <c r="H1536" s="402">
        <f t="shared" si="83"/>
        <v>3</v>
      </c>
    </row>
    <row r="1537" spans="2:8" s="65" customFormat="1" ht="20.100000000000001" customHeight="1" x14ac:dyDescent="0.25">
      <c r="B1537" s="447"/>
      <c r="C1537" s="448"/>
      <c r="D1537" s="83" t="s">
        <v>142</v>
      </c>
      <c r="E1537" s="67" t="s">
        <v>309</v>
      </c>
      <c r="F1537" s="446">
        <v>3</v>
      </c>
      <c r="G1537" s="446"/>
      <c r="H1537" s="402">
        <f t="shared" si="83"/>
        <v>3</v>
      </c>
    </row>
    <row r="1538" spans="2:8" s="69" customFormat="1" ht="20.100000000000001" customHeight="1" x14ac:dyDescent="0.25">
      <c r="B1538" s="386" t="s">
        <v>1237</v>
      </c>
      <c r="C1538" s="163">
        <v>230176</v>
      </c>
      <c r="D1538" s="78" t="s">
        <v>1238</v>
      </c>
      <c r="E1538" s="79" t="s">
        <v>309</v>
      </c>
      <c r="F1538" s="481" t="s">
        <v>308</v>
      </c>
      <c r="G1538" s="481"/>
      <c r="H1538" s="387">
        <f>SUM(H1539:H1540)</f>
        <v>4</v>
      </c>
    </row>
    <row r="1539" spans="2:8" s="65" customFormat="1" ht="20.100000000000001" customHeight="1" x14ac:dyDescent="0.25">
      <c r="B1539" s="465"/>
      <c r="C1539" s="466"/>
      <c r="D1539" s="83" t="s">
        <v>144</v>
      </c>
      <c r="E1539" s="67" t="s">
        <v>309</v>
      </c>
      <c r="F1539" s="446">
        <v>2</v>
      </c>
      <c r="G1539" s="446"/>
      <c r="H1539" s="402">
        <f>F1539</f>
        <v>2</v>
      </c>
    </row>
    <row r="1540" spans="2:8" s="65" customFormat="1" ht="20.100000000000001" customHeight="1" x14ac:dyDescent="0.25">
      <c r="B1540" s="467"/>
      <c r="C1540" s="468"/>
      <c r="D1540" s="83" t="s">
        <v>143</v>
      </c>
      <c r="E1540" s="67" t="s">
        <v>309</v>
      </c>
      <c r="F1540" s="446">
        <v>2</v>
      </c>
      <c r="G1540" s="446"/>
      <c r="H1540" s="402">
        <f>F1540</f>
        <v>2</v>
      </c>
    </row>
    <row r="1541" spans="2:8" s="65" customFormat="1" ht="20.100000000000001" customHeight="1" x14ac:dyDescent="0.25">
      <c r="B1541" s="514" t="s">
        <v>468</v>
      </c>
      <c r="C1541" s="492"/>
      <c r="D1541" s="492"/>
      <c r="E1541" s="492"/>
      <c r="F1541" s="492"/>
      <c r="G1541" s="492"/>
      <c r="H1541" s="538"/>
    </row>
    <row r="1542" spans="2:8" s="65" customFormat="1" ht="20.100000000000001" customHeight="1" x14ac:dyDescent="0.25">
      <c r="B1542" s="425">
        <v>19</v>
      </c>
      <c r="C1542" s="181">
        <v>250000</v>
      </c>
      <c r="D1542" s="532" t="s">
        <v>85</v>
      </c>
      <c r="E1542" s="533"/>
      <c r="F1542" s="533"/>
      <c r="G1542" s="534"/>
      <c r="H1542" s="426" t="s">
        <v>6</v>
      </c>
    </row>
    <row r="1543" spans="2:8" s="65" customFormat="1" ht="20.100000000000001" customHeight="1" x14ac:dyDescent="0.25">
      <c r="B1543" s="386" t="s">
        <v>89</v>
      </c>
      <c r="C1543" s="163">
        <v>250101</v>
      </c>
      <c r="D1543" s="88" t="s">
        <v>469</v>
      </c>
      <c r="E1543" s="162" t="s">
        <v>470</v>
      </c>
      <c r="F1543" s="455" t="s">
        <v>471</v>
      </c>
      <c r="G1543" s="455"/>
      <c r="H1543" s="387">
        <f>H1544</f>
        <v>480</v>
      </c>
    </row>
    <row r="1544" spans="2:8" s="65" customFormat="1" ht="20.100000000000001" customHeight="1" x14ac:dyDescent="0.25">
      <c r="B1544" s="541"/>
      <c r="C1544" s="542"/>
      <c r="D1544" s="83" t="s">
        <v>1255</v>
      </c>
      <c r="E1544" s="67" t="s">
        <v>1074</v>
      </c>
      <c r="F1544" s="446">
        <v>480</v>
      </c>
      <c r="G1544" s="446"/>
      <c r="H1544" s="402">
        <f>F1544</f>
        <v>480</v>
      </c>
    </row>
    <row r="1545" spans="2:8" s="65" customFormat="1" ht="20.100000000000001" customHeight="1" x14ac:dyDescent="0.25">
      <c r="B1545" s="386" t="s">
        <v>91</v>
      </c>
      <c r="C1545" s="163">
        <v>250103</v>
      </c>
      <c r="D1545" s="88" t="s">
        <v>1287</v>
      </c>
      <c r="E1545" s="162" t="s">
        <v>470</v>
      </c>
      <c r="F1545" s="455" t="s">
        <v>471</v>
      </c>
      <c r="G1545" s="455"/>
      <c r="H1545" s="387">
        <f>H1546</f>
        <v>1280</v>
      </c>
    </row>
    <row r="1546" spans="2:8" s="65" customFormat="1" ht="20.100000000000001" customHeight="1" x14ac:dyDescent="0.25">
      <c r="B1546" s="539"/>
      <c r="C1546" s="540"/>
      <c r="D1546" s="83" t="s">
        <v>472</v>
      </c>
      <c r="E1546" s="67" t="s">
        <v>1074</v>
      </c>
      <c r="F1546" s="446">
        <v>1280</v>
      </c>
      <c r="G1546" s="446"/>
      <c r="H1546" s="402">
        <f>F1546</f>
        <v>1280</v>
      </c>
    </row>
    <row r="1547" spans="2:8" s="65" customFormat="1" ht="20.100000000000001" customHeight="1" x14ac:dyDescent="0.25">
      <c r="B1547" s="514" t="s">
        <v>386</v>
      </c>
      <c r="C1547" s="492"/>
      <c r="D1547" s="492"/>
      <c r="E1547" s="492"/>
      <c r="F1547" s="492"/>
      <c r="G1547" s="492"/>
      <c r="H1547" s="538"/>
    </row>
    <row r="1548" spans="2:8" s="65" customFormat="1" ht="20.100000000000001" customHeight="1" x14ac:dyDescent="0.25">
      <c r="B1548" s="425">
        <v>20</v>
      </c>
      <c r="C1548" s="181">
        <v>260000</v>
      </c>
      <c r="D1548" s="532" t="s">
        <v>112</v>
      </c>
      <c r="E1548" s="533"/>
      <c r="F1548" s="533"/>
      <c r="G1548" s="534"/>
      <c r="H1548" s="426" t="s">
        <v>6</v>
      </c>
    </row>
    <row r="1549" spans="2:8" s="65" customFormat="1" ht="20.100000000000001" customHeight="1" x14ac:dyDescent="0.25">
      <c r="B1549" s="386" t="s">
        <v>109</v>
      </c>
      <c r="C1549" s="163">
        <v>261300</v>
      </c>
      <c r="D1549" s="88" t="s">
        <v>387</v>
      </c>
      <c r="E1549" s="162" t="s">
        <v>24</v>
      </c>
      <c r="F1549" s="330" t="s">
        <v>26</v>
      </c>
      <c r="G1549" s="330" t="s">
        <v>27</v>
      </c>
      <c r="H1549" s="387">
        <f>H1550+H1552+H1554+H1556+H1558+H1560+H1562+SUM(H1564:H1589)</f>
        <v>624.88969999999995</v>
      </c>
    </row>
    <row r="1550" spans="2:8" s="65" customFormat="1" ht="20.100000000000001" customHeight="1" x14ac:dyDescent="0.25">
      <c r="B1550" s="422"/>
      <c r="C1550" s="287"/>
      <c r="D1550" s="165" t="s">
        <v>121</v>
      </c>
      <c r="E1550" s="170" t="s">
        <v>24</v>
      </c>
      <c r="F1550" s="168" t="s">
        <v>26</v>
      </c>
      <c r="G1550" s="168" t="s">
        <v>27</v>
      </c>
      <c r="H1550" s="408">
        <f>H1551</f>
        <v>48.4</v>
      </c>
    </row>
    <row r="1551" spans="2:8" s="65" customFormat="1" ht="20.100000000000001" customHeight="1" x14ac:dyDescent="0.25">
      <c r="B1551" s="423"/>
      <c r="C1551" s="288"/>
      <c r="D1551" s="61" t="s">
        <v>399</v>
      </c>
      <c r="E1551" s="67" t="s">
        <v>24</v>
      </c>
      <c r="F1551" s="338">
        <v>8</v>
      </c>
      <c r="G1551" s="338">
        <v>6.05</v>
      </c>
      <c r="H1551" s="385">
        <f t="shared" ref="H1551" si="84">G1551*F1551</f>
        <v>48.4</v>
      </c>
    </row>
    <row r="1552" spans="2:8" s="65" customFormat="1" ht="20.100000000000001" customHeight="1" x14ac:dyDescent="0.25">
      <c r="B1552" s="423"/>
      <c r="C1552" s="288"/>
      <c r="D1552" s="165" t="s">
        <v>382</v>
      </c>
      <c r="E1552" s="170" t="s">
        <v>24</v>
      </c>
      <c r="F1552" s="168" t="s">
        <v>26</v>
      </c>
      <c r="G1552" s="168" t="s">
        <v>27</v>
      </c>
      <c r="H1552" s="408">
        <f>H1553</f>
        <v>4</v>
      </c>
    </row>
    <row r="1553" spans="2:8" s="65" customFormat="1" ht="20.100000000000001" customHeight="1" x14ac:dyDescent="0.25">
      <c r="B1553" s="423"/>
      <c r="C1553" s="288"/>
      <c r="D1553" s="61" t="s">
        <v>381</v>
      </c>
      <c r="E1553" s="67" t="s">
        <v>24</v>
      </c>
      <c r="F1553" s="338">
        <v>2</v>
      </c>
      <c r="G1553" s="338">
        <v>2</v>
      </c>
      <c r="H1553" s="385">
        <f t="shared" ref="H1553" si="85">G1553*F1553</f>
        <v>4</v>
      </c>
    </row>
    <row r="1554" spans="2:8" s="65" customFormat="1" ht="20.100000000000001" customHeight="1" x14ac:dyDescent="0.25">
      <c r="B1554" s="423"/>
      <c r="C1554" s="288"/>
      <c r="D1554" s="169" t="s">
        <v>392</v>
      </c>
      <c r="E1554" s="170" t="s">
        <v>24</v>
      </c>
      <c r="F1554" s="168" t="s">
        <v>26</v>
      </c>
      <c r="G1554" s="168" t="s">
        <v>27</v>
      </c>
      <c r="H1554" s="427">
        <f>H1555</f>
        <v>54.923999999999999</v>
      </c>
    </row>
    <row r="1555" spans="2:8" s="65" customFormat="1" ht="20.100000000000001" customHeight="1" x14ac:dyDescent="0.25">
      <c r="B1555" s="423"/>
      <c r="C1555" s="288"/>
      <c r="D1555" s="83" t="s">
        <v>393</v>
      </c>
      <c r="E1555" s="67" t="s">
        <v>24</v>
      </c>
      <c r="F1555" s="331">
        <v>7.96</v>
      </c>
      <c r="G1555" s="331">
        <v>6.9</v>
      </c>
      <c r="H1555" s="402">
        <f>G1555*F1555</f>
        <v>54.923999999999999</v>
      </c>
    </row>
    <row r="1556" spans="2:8" s="65" customFormat="1" ht="20.100000000000001" customHeight="1" x14ac:dyDescent="0.25">
      <c r="B1556" s="423"/>
      <c r="C1556" s="288"/>
      <c r="D1556" s="169" t="s">
        <v>147</v>
      </c>
      <c r="E1556" s="170" t="s">
        <v>24</v>
      </c>
      <c r="F1556" s="168" t="s">
        <v>26</v>
      </c>
      <c r="G1556" s="168" t="s">
        <v>27</v>
      </c>
      <c r="H1556" s="427">
        <f>H1557</f>
        <v>12.740500000000001</v>
      </c>
    </row>
    <row r="1557" spans="2:8" s="65" customFormat="1" ht="20.100000000000001" customHeight="1" x14ac:dyDescent="0.25">
      <c r="B1557" s="423"/>
      <c r="C1557" s="288"/>
      <c r="D1557" s="83" t="s">
        <v>393</v>
      </c>
      <c r="E1557" s="67" t="s">
        <v>24</v>
      </c>
      <c r="F1557" s="331">
        <v>3.07</v>
      </c>
      <c r="G1557" s="331">
        <v>4.1500000000000004</v>
      </c>
      <c r="H1557" s="402">
        <f t="shared" ref="H1557" si="86">G1557*F1557</f>
        <v>12.740500000000001</v>
      </c>
    </row>
    <row r="1558" spans="2:8" s="65" customFormat="1" ht="20.100000000000001" customHeight="1" x14ac:dyDescent="0.25">
      <c r="B1558" s="423"/>
      <c r="C1558" s="288"/>
      <c r="D1558" s="169" t="s">
        <v>364</v>
      </c>
      <c r="E1558" s="170" t="s">
        <v>24</v>
      </c>
      <c r="F1558" s="168" t="s">
        <v>26</v>
      </c>
      <c r="G1558" s="168" t="s">
        <v>27</v>
      </c>
      <c r="H1558" s="427">
        <f>H1559</f>
        <v>19.494499999999999</v>
      </c>
    </row>
    <row r="1559" spans="2:8" s="65" customFormat="1" ht="20.100000000000001" customHeight="1" x14ac:dyDescent="0.25">
      <c r="B1559" s="423"/>
      <c r="C1559" s="288"/>
      <c r="D1559" s="83" t="s">
        <v>394</v>
      </c>
      <c r="E1559" s="67" t="s">
        <v>24</v>
      </c>
      <c r="F1559" s="331">
        <v>3.07</v>
      </c>
      <c r="G1559" s="331">
        <v>6.35</v>
      </c>
      <c r="H1559" s="402">
        <f t="shared" ref="H1559" si="87">G1559*F1559</f>
        <v>19.494499999999999</v>
      </c>
    </row>
    <row r="1560" spans="2:8" s="65" customFormat="1" ht="20.100000000000001" customHeight="1" x14ac:dyDescent="0.25">
      <c r="B1560" s="423"/>
      <c r="C1560" s="288"/>
      <c r="D1560" s="169" t="s">
        <v>354</v>
      </c>
      <c r="E1560" s="170" t="s">
        <v>24</v>
      </c>
      <c r="F1560" s="168" t="s">
        <v>26</v>
      </c>
      <c r="G1560" s="168" t="s">
        <v>27</v>
      </c>
      <c r="H1560" s="427">
        <f>H1561</f>
        <v>6.1706999999999992</v>
      </c>
    </row>
    <row r="1561" spans="2:8" s="65" customFormat="1" ht="20.100000000000001" customHeight="1" x14ac:dyDescent="0.25">
      <c r="B1561" s="423"/>
      <c r="C1561" s="288"/>
      <c r="D1561" s="83" t="s">
        <v>393</v>
      </c>
      <c r="E1561" s="67" t="s">
        <v>24</v>
      </c>
      <c r="F1561" s="331">
        <v>3.07</v>
      </c>
      <c r="G1561" s="331">
        <v>2.0099999999999998</v>
      </c>
      <c r="H1561" s="402">
        <f t="shared" ref="H1561" si="88">G1561*F1561</f>
        <v>6.1706999999999992</v>
      </c>
    </row>
    <row r="1562" spans="2:8" s="65" customFormat="1" ht="20.100000000000001" customHeight="1" x14ac:dyDescent="0.25">
      <c r="B1562" s="423"/>
      <c r="C1562" s="288"/>
      <c r="D1562" s="165" t="s">
        <v>397</v>
      </c>
      <c r="E1562" s="170" t="s">
        <v>24</v>
      </c>
      <c r="F1562" s="168" t="s">
        <v>26</v>
      </c>
      <c r="G1562" s="168" t="s">
        <v>27</v>
      </c>
      <c r="H1562" s="397">
        <f>H1563</f>
        <v>7.0350000000000001</v>
      </c>
    </row>
    <row r="1563" spans="2:8" s="65" customFormat="1" ht="20.100000000000001" customHeight="1" x14ac:dyDescent="0.25">
      <c r="B1563" s="423"/>
      <c r="C1563" s="288"/>
      <c r="D1563" s="61" t="s">
        <v>393</v>
      </c>
      <c r="E1563" s="340" t="s">
        <v>24</v>
      </c>
      <c r="F1563" s="338">
        <v>3.35</v>
      </c>
      <c r="G1563" s="338">
        <v>2.1</v>
      </c>
      <c r="H1563" s="385">
        <f>G1563*F1563</f>
        <v>7.0350000000000001</v>
      </c>
    </row>
    <row r="1564" spans="2:8" s="65" customFormat="1" ht="20.100000000000001" customHeight="1" x14ac:dyDescent="0.25">
      <c r="B1564" s="423"/>
      <c r="C1564" s="288"/>
      <c r="D1564" s="61" t="s">
        <v>765</v>
      </c>
      <c r="E1564" s="340" t="s">
        <v>24</v>
      </c>
      <c r="F1564" s="338">
        <v>28.58</v>
      </c>
      <c r="G1564" s="338">
        <v>3</v>
      </c>
      <c r="H1564" s="385">
        <f>G1564*F1564</f>
        <v>85.74</v>
      </c>
    </row>
    <row r="1565" spans="2:8" s="65" customFormat="1" ht="20.100000000000001" customHeight="1" x14ac:dyDescent="0.25">
      <c r="B1565" s="423"/>
      <c r="C1565" s="288"/>
      <c r="D1565" s="61" t="s">
        <v>767</v>
      </c>
      <c r="E1565" s="340" t="s">
        <v>24</v>
      </c>
      <c r="F1565" s="331">
        <v>1</v>
      </c>
      <c r="G1565" s="331">
        <v>2.1</v>
      </c>
      <c r="H1565" s="385">
        <f>-G1565*F1565*2</f>
        <v>-4.2</v>
      </c>
    </row>
    <row r="1566" spans="2:8" s="65" customFormat="1" ht="20.100000000000001" customHeight="1" x14ac:dyDescent="0.25">
      <c r="B1566" s="423"/>
      <c r="C1566" s="288"/>
      <c r="D1566" s="61" t="s">
        <v>766</v>
      </c>
      <c r="E1566" s="340" t="s">
        <v>24</v>
      </c>
      <c r="F1566" s="331">
        <v>1.8</v>
      </c>
      <c r="G1566" s="331">
        <v>1.4</v>
      </c>
      <c r="H1566" s="385">
        <f>-4*G1566*F1566</f>
        <v>-10.08</v>
      </c>
    </row>
    <row r="1567" spans="2:8" s="65" customFormat="1" ht="20.100000000000001" customHeight="1" x14ac:dyDescent="0.25">
      <c r="B1567" s="423"/>
      <c r="C1567" s="288"/>
      <c r="D1567" s="61" t="s">
        <v>792</v>
      </c>
      <c r="E1567" s="340" t="s">
        <v>24</v>
      </c>
      <c r="F1567" s="331">
        <v>24.94</v>
      </c>
      <c r="G1567" s="331">
        <v>3</v>
      </c>
      <c r="H1567" s="385">
        <f>G1567*F1567</f>
        <v>74.820000000000007</v>
      </c>
    </row>
    <row r="1568" spans="2:8" s="65" customFormat="1" ht="17.25" customHeight="1" x14ac:dyDescent="0.25">
      <c r="B1568" s="423"/>
      <c r="C1568" s="288"/>
      <c r="D1568" s="61" t="s">
        <v>767</v>
      </c>
      <c r="E1568" s="340" t="s">
        <v>24</v>
      </c>
      <c r="F1568" s="331">
        <v>1</v>
      </c>
      <c r="G1568" s="331">
        <v>2.1</v>
      </c>
      <c r="H1568" s="385">
        <f>-G1568*F1568*2</f>
        <v>-4.2</v>
      </c>
    </row>
    <row r="1569" spans="2:8" s="65" customFormat="1" ht="20.100000000000001" customHeight="1" x14ac:dyDescent="0.25">
      <c r="B1569" s="423"/>
      <c r="C1569" s="288"/>
      <c r="D1569" s="61" t="s">
        <v>766</v>
      </c>
      <c r="E1569" s="340" t="s">
        <v>24</v>
      </c>
      <c r="F1569" s="331">
        <v>1.8</v>
      </c>
      <c r="G1569" s="331">
        <v>1.4</v>
      </c>
      <c r="H1569" s="385">
        <f>-4*G1569*F1569</f>
        <v>-10.08</v>
      </c>
    </row>
    <row r="1570" spans="2:8" s="65" customFormat="1" ht="20.100000000000001" customHeight="1" x14ac:dyDescent="0.25">
      <c r="B1570" s="423"/>
      <c r="C1570" s="288"/>
      <c r="D1570" s="61" t="s">
        <v>795</v>
      </c>
      <c r="E1570" s="340" t="s">
        <v>24</v>
      </c>
      <c r="F1570" s="331">
        <v>25.09</v>
      </c>
      <c r="G1570" s="331">
        <v>3</v>
      </c>
      <c r="H1570" s="385">
        <f>G1570*F1570</f>
        <v>75.27</v>
      </c>
    </row>
    <row r="1571" spans="2:8" s="65" customFormat="1" ht="20.100000000000001" customHeight="1" x14ac:dyDescent="0.25">
      <c r="B1571" s="423"/>
      <c r="C1571" s="288"/>
      <c r="D1571" s="61" t="s">
        <v>767</v>
      </c>
      <c r="E1571" s="340" t="s">
        <v>24</v>
      </c>
      <c r="F1571" s="331">
        <v>1</v>
      </c>
      <c r="G1571" s="331">
        <v>2.1</v>
      </c>
      <c r="H1571" s="385">
        <f>-G1571*F1571*2</f>
        <v>-4.2</v>
      </c>
    </row>
    <row r="1572" spans="2:8" s="65" customFormat="1" ht="20.100000000000001" customHeight="1" x14ac:dyDescent="0.25">
      <c r="B1572" s="423"/>
      <c r="C1572" s="288"/>
      <c r="D1572" s="61" t="s">
        <v>766</v>
      </c>
      <c r="E1572" s="340" t="s">
        <v>24</v>
      </c>
      <c r="F1572" s="331">
        <v>1.8</v>
      </c>
      <c r="G1572" s="331">
        <v>1.4</v>
      </c>
      <c r="H1572" s="385">
        <f>-4*G1572*F1572</f>
        <v>-10.08</v>
      </c>
    </row>
    <row r="1573" spans="2:8" s="65" customFormat="1" ht="20.100000000000001" customHeight="1" x14ac:dyDescent="0.25">
      <c r="B1573" s="423"/>
      <c r="C1573" s="288"/>
      <c r="D1573" s="61" t="s">
        <v>800</v>
      </c>
      <c r="E1573" s="340" t="s">
        <v>24</v>
      </c>
      <c r="F1573" s="338">
        <f>12.81-9.46</f>
        <v>3.3499999999999996</v>
      </c>
      <c r="G1573" s="338">
        <v>3</v>
      </c>
      <c r="H1573" s="385">
        <f>G1573*F1573</f>
        <v>10.049999999999999</v>
      </c>
    </row>
    <row r="1574" spans="2:8" s="65" customFormat="1" ht="20.100000000000001" customHeight="1" x14ac:dyDescent="0.25">
      <c r="B1574" s="423"/>
      <c r="C1574" s="288"/>
      <c r="D1574" s="61" t="s">
        <v>773</v>
      </c>
      <c r="E1574" s="340" t="s">
        <v>24</v>
      </c>
      <c r="F1574" s="331">
        <v>1</v>
      </c>
      <c r="G1574" s="338">
        <v>2.1</v>
      </c>
      <c r="H1574" s="385">
        <f>-G1574*F1574</f>
        <v>-2.1</v>
      </c>
    </row>
    <row r="1575" spans="2:8" s="65" customFormat="1" ht="20.100000000000001" customHeight="1" x14ac:dyDescent="0.25">
      <c r="B1575" s="423"/>
      <c r="C1575" s="288"/>
      <c r="D1575" s="61" t="s">
        <v>766</v>
      </c>
      <c r="E1575" s="340" t="s">
        <v>24</v>
      </c>
      <c r="F1575" s="331">
        <v>1.8</v>
      </c>
      <c r="G1575" s="338">
        <v>1.4</v>
      </c>
      <c r="H1575" s="385">
        <f>-4*G1575*F1575</f>
        <v>-10.08</v>
      </c>
    </row>
    <row r="1576" spans="2:8" s="65" customFormat="1" ht="20.100000000000001" customHeight="1" x14ac:dyDescent="0.25">
      <c r="B1576" s="423"/>
      <c r="C1576" s="288"/>
      <c r="D1576" s="61" t="s">
        <v>801</v>
      </c>
      <c r="E1576" s="340" t="s">
        <v>24</v>
      </c>
      <c r="F1576" s="331">
        <f>0.765+2.5+6.2</f>
        <v>9.4649999999999999</v>
      </c>
      <c r="G1576" s="338">
        <v>3</v>
      </c>
      <c r="H1576" s="385">
        <f>G1576*F1576</f>
        <v>28.395</v>
      </c>
    </row>
    <row r="1577" spans="2:8" s="65" customFormat="1" ht="19.5" customHeight="1" x14ac:dyDescent="0.25">
      <c r="B1577" s="423"/>
      <c r="C1577" s="288"/>
      <c r="D1577" s="61" t="s">
        <v>773</v>
      </c>
      <c r="E1577" s="340" t="s">
        <v>24</v>
      </c>
      <c r="F1577" s="331">
        <v>1</v>
      </c>
      <c r="G1577" s="338">
        <v>2.1</v>
      </c>
      <c r="H1577" s="385">
        <f>-G1577*F1577</f>
        <v>-2.1</v>
      </c>
    </row>
    <row r="1578" spans="2:8" s="65" customFormat="1" ht="20.100000000000001" customHeight="1" x14ac:dyDescent="0.25">
      <c r="B1578" s="423"/>
      <c r="C1578" s="288"/>
      <c r="D1578" s="61" t="s">
        <v>809</v>
      </c>
      <c r="E1578" s="340" t="s">
        <v>24</v>
      </c>
      <c r="F1578" s="331">
        <f>4.015*2+6.2*2</f>
        <v>20.43</v>
      </c>
      <c r="G1578" s="338">
        <v>3</v>
      </c>
      <c r="H1578" s="385">
        <f>G1578*F1578</f>
        <v>61.29</v>
      </c>
    </row>
    <row r="1579" spans="2:8" s="65" customFormat="1" ht="20.100000000000001" customHeight="1" x14ac:dyDescent="0.25">
      <c r="B1579" s="423"/>
      <c r="C1579" s="288"/>
      <c r="D1579" s="61" t="s">
        <v>773</v>
      </c>
      <c r="E1579" s="340" t="s">
        <v>24</v>
      </c>
      <c r="F1579" s="331">
        <v>1</v>
      </c>
      <c r="G1579" s="338">
        <v>2.1</v>
      </c>
      <c r="H1579" s="385">
        <f>-G1579*F1579</f>
        <v>-2.1</v>
      </c>
    </row>
    <row r="1580" spans="2:8" s="65" customFormat="1" ht="20.100000000000001" customHeight="1" x14ac:dyDescent="0.25">
      <c r="B1580" s="423"/>
      <c r="C1580" s="288"/>
      <c r="D1580" s="61" t="s">
        <v>806</v>
      </c>
      <c r="E1580" s="340" t="s">
        <v>24</v>
      </c>
      <c r="F1580" s="331">
        <v>1.8</v>
      </c>
      <c r="G1580" s="338">
        <v>1.4</v>
      </c>
      <c r="H1580" s="385">
        <f>-2*G1580*F1580</f>
        <v>-5.04</v>
      </c>
    </row>
    <row r="1581" spans="2:8" s="65" customFormat="1" ht="20.100000000000001" customHeight="1" x14ac:dyDescent="0.25">
      <c r="B1581" s="424"/>
      <c r="C1581" s="289"/>
      <c r="D1581" s="61" t="s">
        <v>815</v>
      </c>
      <c r="E1581" s="340" t="s">
        <v>24</v>
      </c>
      <c r="F1581" s="338">
        <f>6+6+7.4+7.4</f>
        <v>26.799999999999997</v>
      </c>
      <c r="G1581" s="338">
        <v>3</v>
      </c>
      <c r="H1581" s="385">
        <f>G1581*F1581</f>
        <v>80.399999999999991</v>
      </c>
    </row>
    <row r="1582" spans="2:8" s="65" customFormat="1" ht="20.100000000000001" customHeight="1" x14ac:dyDescent="0.25">
      <c r="B1582" s="422"/>
      <c r="C1582" s="287"/>
      <c r="D1582" s="61" t="s">
        <v>773</v>
      </c>
      <c r="E1582" s="340" t="s">
        <v>24</v>
      </c>
      <c r="F1582" s="331">
        <v>1</v>
      </c>
      <c r="G1582" s="338">
        <v>2.1</v>
      </c>
      <c r="H1582" s="385">
        <f>-G1582*F1582</f>
        <v>-2.1</v>
      </c>
    </row>
    <row r="1583" spans="2:8" s="65" customFormat="1" ht="20.100000000000001" customHeight="1" x14ac:dyDescent="0.25">
      <c r="B1583" s="423"/>
      <c r="C1583" s="288"/>
      <c r="D1583" s="61" t="s">
        <v>816</v>
      </c>
      <c r="E1583" s="340" t="s">
        <v>24</v>
      </c>
      <c r="F1583" s="331">
        <v>2.5</v>
      </c>
      <c r="G1583" s="338">
        <v>1.4</v>
      </c>
      <c r="H1583" s="385">
        <f>-4*G1583*F1583</f>
        <v>-14</v>
      </c>
    </row>
    <row r="1584" spans="2:8" s="65" customFormat="1" ht="20.100000000000001" customHeight="1" x14ac:dyDescent="0.25">
      <c r="B1584" s="423"/>
      <c r="C1584" s="288"/>
      <c r="D1584" s="61" t="s">
        <v>872</v>
      </c>
      <c r="E1584" s="340" t="s">
        <v>24</v>
      </c>
      <c r="F1584" s="331">
        <f>8+8+6.05+6.05</f>
        <v>28.1</v>
      </c>
      <c r="G1584" s="331">
        <v>3</v>
      </c>
      <c r="H1584" s="385">
        <f>G1584*F1584</f>
        <v>84.300000000000011</v>
      </c>
    </row>
    <row r="1585" spans="1:8" s="65" customFormat="1" ht="20.100000000000001" customHeight="1" x14ac:dyDescent="0.25">
      <c r="B1585" s="423"/>
      <c r="C1585" s="288"/>
      <c r="D1585" s="61" t="s">
        <v>773</v>
      </c>
      <c r="E1585" s="340" t="s">
        <v>24</v>
      </c>
      <c r="F1585" s="331">
        <v>1</v>
      </c>
      <c r="G1585" s="338">
        <v>2.1</v>
      </c>
      <c r="H1585" s="385">
        <f>-G1585*F1585*1</f>
        <v>-2.1</v>
      </c>
    </row>
    <row r="1586" spans="1:8" s="65" customFormat="1" ht="20.100000000000001" customHeight="1" x14ac:dyDescent="0.25">
      <c r="B1586" s="423"/>
      <c r="C1586" s="288"/>
      <c r="D1586" s="61" t="s">
        <v>816</v>
      </c>
      <c r="E1586" s="340" t="s">
        <v>24</v>
      </c>
      <c r="F1586" s="331">
        <v>2.5</v>
      </c>
      <c r="G1586" s="338">
        <v>1.4</v>
      </c>
      <c r="H1586" s="385">
        <f>-4*G1586*F1586</f>
        <v>-14</v>
      </c>
    </row>
    <row r="1587" spans="1:8" s="65" customFormat="1" ht="20.100000000000001" customHeight="1" x14ac:dyDescent="0.25">
      <c r="B1587" s="423"/>
      <c r="C1587" s="288"/>
      <c r="D1587" s="61" t="s">
        <v>873</v>
      </c>
      <c r="E1587" s="340" t="s">
        <v>24</v>
      </c>
      <c r="F1587" s="331">
        <f>8+6+6+8</f>
        <v>28</v>
      </c>
      <c r="G1587" s="331">
        <v>3</v>
      </c>
      <c r="H1587" s="385">
        <f>G1587*F1587</f>
        <v>84</v>
      </c>
    </row>
    <row r="1588" spans="1:8" s="65" customFormat="1" ht="20.100000000000001" customHeight="1" x14ac:dyDescent="0.25">
      <c r="B1588" s="423"/>
      <c r="C1588" s="288"/>
      <c r="D1588" s="61" t="s">
        <v>874</v>
      </c>
      <c r="E1588" s="340" t="s">
        <v>24</v>
      </c>
      <c r="F1588" s="331">
        <v>0.8</v>
      </c>
      <c r="G1588" s="338">
        <v>2.1</v>
      </c>
      <c r="H1588" s="385">
        <f>-G1588*F1588*1</f>
        <v>-1.6800000000000002</v>
      </c>
    </row>
    <row r="1589" spans="1:8" s="65" customFormat="1" ht="20.100000000000001" customHeight="1" x14ac:dyDescent="0.25">
      <c r="B1589" s="424"/>
      <c r="C1589" s="289"/>
      <c r="D1589" s="61" t="s">
        <v>816</v>
      </c>
      <c r="E1589" s="340" t="s">
        <v>24</v>
      </c>
      <c r="F1589" s="331">
        <v>2.5</v>
      </c>
      <c r="G1589" s="338">
        <v>1.4</v>
      </c>
      <c r="H1589" s="385">
        <f>-4*G1589*F1589</f>
        <v>-14</v>
      </c>
    </row>
    <row r="1590" spans="1:8" s="65" customFormat="1" ht="20.100000000000001" customHeight="1" x14ac:dyDescent="0.25">
      <c r="B1590" s="394" t="s">
        <v>992</v>
      </c>
      <c r="C1590" s="179">
        <v>260104</v>
      </c>
      <c r="D1590" s="77" t="s">
        <v>764</v>
      </c>
      <c r="E1590" s="75" t="s">
        <v>24</v>
      </c>
      <c r="F1590" s="342" t="s">
        <v>26</v>
      </c>
      <c r="G1590" s="342" t="s">
        <v>31</v>
      </c>
      <c r="H1590" s="387">
        <f>SUM(H1591:H1726)+H1749</f>
        <v>3197.5364</v>
      </c>
    </row>
    <row r="1591" spans="1:8" s="65" customFormat="1" ht="20.100000000000001" customHeight="1" x14ac:dyDescent="0.25">
      <c r="B1591" s="388"/>
      <c r="C1591" s="277"/>
      <c r="D1591" s="61" t="s">
        <v>765</v>
      </c>
      <c r="E1591" s="340" t="s">
        <v>24</v>
      </c>
      <c r="F1591" s="331">
        <v>28.58</v>
      </c>
      <c r="G1591" s="331">
        <v>3</v>
      </c>
      <c r="H1591" s="385">
        <f>G1591*F1591</f>
        <v>85.74</v>
      </c>
    </row>
    <row r="1592" spans="1:8" s="65" customFormat="1" ht="20.100000000000001" customHeight="1" x14ac:dyDescent="0.25">
      <c r="B1592" s="389"/>
      <c r="C1592" s="278"/>
      <c r="D1592" s="61" t="s">
        <v>767</v>
      </c>
      <c r="E1592" s="340" t="s">
        <v>24</v>
      </c>
      <c r="F1592" s="331">
        <v>1</v>
      </c>
      <c r="G1592" s="331">
        <v>2.1</v>
      </c>
      <c r="H1592" s="385">
        <f>-G1592*F1592*2</f>
        <v>-4.2</v>
      </c>
    </row>
    <row r="1593" spans="1:8" s="65" customFormat="1" ht="20.100000000000001" customHeight="1" x14ac:dyDescent="0.25">
      <c r="B1593" s="389"/>
      <c r="C1593" s="278"/>
      <c r="D1593" s="61" t="s">
        <v>766</v>
      </c>
      <c r="E1593" s="340" t="s">
        <v>24</v>
      </c>
      <c r="F1593" s="331">
        <v>1.8</v>
      </c>
      <c r="G1593" s="331">
        <v>1.4</v>
      </c>
      <c r="H1593" s="385">
        <f>-4*G1593*F1593</f>
        <v>-10.08</v>
      </c>
    </row>
    <row r="1594" spans="1:8" s="65" customFormat="1" ht="20.100000000000001" customHeight="1" x14ac:dyDescent="0.25">
      <c r="B1594" s="389"/>
      <c r="C1594" s="278"/>
      <c r="D1594" s="61" t="s">
        <v>772</v>
      </c>
      <c r="E1594" s="340" t="s">
        <v>24</v>
      </c>
      <c r="F1594" s="331">
        <f>0.475+22.38+0.075</f>
        <v>22.93</v>
      </c>
      <c r="G1594" s="331">
        <v>3</v>
      </c>
      <c r="H1594" s="385">
        <f>G1594*F1594</f>
        <v>68.789999999999992</v>
      </c>
    </row>
    <row r="1595" spans="1:8" s="65" customFormat="1" ht="20.100000000000001" customHeight="1" x14ac:dyDescent="0.25">
      <c r="B1595" s="389"/>
      <c r="C1595" s="278"/>
      <c r="D1595" s="61" t="s">
        <v>773</v>
      </c>
      <c r="E1595" s="340" t="s">
        <v>24</v>
      </c>
      <c r="F1595" s="331">
        <v>1</v>
      </c>
      <c r="G1595" s="331">
        <v>2.1</v>
      </c>
      <c r="H1595" s="385">
        <f>-G1595*F1595</f>
        <v>-2.1</v>
      </c>
    </row>
    <row r="1596" spans="1:8" s="65" customFormat="1" ht="20.100000000000001" customHeight="1" x14ac:dyDescent="0.25">
      <c r="B1596" s="389"/>
      <c r="C1596" s="278"/>
      <c r="D1596" s="61" t="s">
        <v>766</v>
      </c>
      <c r="E1596" s="340" t="s">
        <v>24</v>
      </c>
      <c r="F1596" s="331">
        <v>1.8</v>
      </c>
      <c r="G1596" s="331">
        <v>1.4</v>
      </c>
      <c r="H1596" s="385">
        <f t="shared" ref="H1596" si="89">-4*G1596*F1596</f>
        <v>-10.08</v>
      </c>
    </row>
    <row r="1597" spans="1:8" s="65" customFormat="1" ht="20.100000000000001" customHeight="1" x14ac:dyDescent="0.25">
      <c r="B1597" s="389"/>
      <c r="C1597" s="278"/>
      <c r="D1597" s="61" t="s">
        <v>789</v>
      </c>
      <c r="E1597" s="340" t="s">
        <v>24</v>
      </c>
      <c r="F1597" s="338">
        <f>12.86</f>
        <v>12.86</v>
      </c>
      <c r="G1597" s="338">
        <v>3</v>
      </c>
      <c r="H1597" s="385">
        <f>G1597*F1597</f>
        <v>38.58</v>
      </c>
    </row>
    <row r="1598" spans="1:8" s="65" customFormat="1" ht="27" customHeight="1" x14ac:dyDescent="0.25">
      <c r="B1598" s="389"/>
      <c r="C1598" s="278"/>
      <c r="D1598" s="61" t="s">
        <v>777</v>
      </c>
      <c r="E1598" s="340" t="s">
        <v>24</v>
      </c>
      <c r="F1598" s="338">
        <v>1.8</v>
      </c>
      <c r="G1598" s="338">
        <v>1.4</v>
      </c>
      <c r="H1598" s="385">
        <f>-G1598*F1598</f>
        <v>-2.52</v>
      </c>
    </row>
    <row r="1599" spans="1:8" s="69" customFormat="1" ht="19.5" customHeight="1" x14ac:dyDescent="0.25">
      <c r="A1599" s="65"/>
      <c r="B1599" s="389"/>
      <c r="C1599" s="278"/>
      <c r="D1599" s="61" t="s">
        <v>778</v>
      </c>
      <c r="E1599" s="340" t="s">
        <v>24</v>
      </c>
      <c r="F1599" s="338">
        <v>1.9</v>
      </c>
      <c r="G1599" s="338">
        <v>0.75</v>
      </c>
      <c r="H1599" s="385">
        <f>-G1599*F1599</f>
        <v>-1.4249999999999998</v>
      </c>
    </row>
    <row r="1600" spans="1:8" s="69" customFormat="1" ht="19.5" customHeight="1" x14ac:dyDescent="0.25">
      <c r="A1600" s="65"/>
      <c r="B1600" s="389"/>
      <c r="C1600" s="278"/>
      <c r="D1600" s="61" t="s">
        <v>767</v>
      </c>
      <c r="E1600" s="340" t="s">
        <v>24</v>
      </c>
      <c r="F1600" s="338">
        <v>1</v>
      </c>
      <c r="G1600" s="338">
        <v>2.1</v>
      </c>
      <c r="H1600" s="385">
        <f>-G1600*F1600*2</f>
        <v>-4.2</v>
      </c>
    </row>
    <row r="1601" spans="1:8" s="69" customFormat="1" ht="19.5" customHeight="1" x14ac:dyDescent="0.25">
      <c r="A1601" s="65"/>
      <c r="B1601" s="389"/>
      <c r="C1601" s="278"/>
      <c r="D1601" s="61" t="s">
        <v>790</v>
      </c>
      <c r="E1601" s="340" t="s">
        <v>24</v>
      </c>
      <c r="F1601" s="338">
        <f>3.3+3.3+6.2</f>
        <v>12.8</v>
      </c>
      <c r="G1601" s="338">
        <v>3</v>
      </c>
      <c r="H1601" s="385">
        <f>G1601*F1601</f>
        <v>38.400000000000006</v>
      </c>
    </row>
    <row r="1602" spans="1:8" s="69" customFormat="1" ht="19.5" customHeight="1" x14ac:dyDescent="0.25">
      <c r="B1602" s="389"/>
      <c r="C1602" s="278"/>
      <c r="D1602" s="61" t="s">
        <v>777</v>
      </c>
      <c r="E1602" s="340" t="s">
        <v>24</v>
      </c>
      <c r="F1602" s="338">
        <v>1.8</v>
      </c>
      <c r="G1602" s="338">
        <v>1.4</v>
      </c>
      <c r="H1602" s="385">
        <f>-G1602*F1602</f>
        <v>-2.52</v>
      </c>
    </row>
    <row r="1603" spans="1:8" s="69" customFormat="1" ht="19.5" customHeight="1" x14ac:dyDescent="0.25">
      <c r="B1603" s="389"/>
      <c r="C1603" s="278"/>
      <c r="D1603" s="61" t="s">
        <v>778</v>
      </c>
      <c r="E1603" s="340" t="s">
        <v>24</v>
      </c>
      <c r="F1603" s="338">
        <v>1.9</v>
      </c>
      <c r="G1603" s="338">
        <v>0.75</v>
      </c>
      <c r="H1603" s="385">
        <f>-G1603*F1603</f>
        <v>-1.4249999999999998</v>
      </c>
    </row>
    <row r="1604" spans="1:8" s="69" customFormat="1" ht="19.5" customHeight="1" x14ac:dyDescent="0.25">
      <c r="B1604" s="389"/>
      <c r="C1604" s="278"/>
      <c r="D1604" s="61" t="s">
        <v>773</v>
      </c>
      <c r="E1604" s="340" t="s">
        <v>24</v>
      </c>
      <c r="F1604" s="338">
        <v>1</v>
      </c>
      <c r="G1604" s="338">
        <v>2.1</v>
      </c>
      <c r="H1604" s="385">
        <f>-G1604*F1604</f>
        <v>-2.1</v>
      </c>
    </row>
    <row r="1605" spans="1:8" s="69" customFormat="1" ht="19.5" customHeight="1" x14ac:dyDescent="0.25">
      <c r="B1605" s="389"/>
      <c r="C1605" s="278"/>
      <c r="D1605" s="61" t="s">
        <v>788</v>
      </c>
      <c r="E1605" s="340" t="s">
        <v>24</v>
      </c>
      <c r="F1605" s="338">
        <f>3.33*2+0.3+0.3</f>
        <v>7.26</v>
      </c>
      <c r="G1605" s="338">
        <v>3</v>
      </c>
      <c r="H1605" s="385">
        <f>G1605*F1605</f>
        <v>21.78</v>
      </c>
    </row>
    <row r="1606" spans="1:8" s="69" customFormat="1" ht="19.5" customHeight="1" x14ac:dyDescent="0.25">
      <c r="B1606" s="389"/>
      <c r="C1606" s="278"/>
      <c r="D1606" s="61" t="s">
        <v>777</v>
      </c>
      <c r="E1606" s="340" t="s">
        <v>24</v>
      </c>
      <c r="F1606" s="338">
        <v>1.8</v>
      </c>
      <c r="G1606" s="338">
        <v>1.4</v>
      </c>
      <c r="H1606" s="385">
        <f>-G1606*F1606</f>
        <v>-2.52</v>
      </c>
    </row>
    <row r="1607" spans="1:8" s="69" customFormat="1" ht="19.5" customHeight="1" x14ac:dyDescent="0.25">
      <c r="B1607" s="389"/>
      <c r="C1607" s="278"/>
      <c r="D1607" s="61" t="s">
        <v>778</v>
      </c>
      <c r="E1607" s="340" t="s">
        <v>24</v>
      </c>
      <c r="F1607" s="338">
        <v>1.9</v>
      </c>
      <c r="G1607" s="338">
        <v>0.75</v>
      </c>
      <c r="H1607" s="385">
        <f>-G1607*F1607</f>
        <v>-1.4249999999999998</v>
      </c>
    </row>
    <row r="1608" spans="1:8" s="69" customFormat="1" ht="19.5" customHeight="1" x14ac:dyDescent="0.25">
      <c r="B1608" s="389"/>
      <c r="C1608" s="278"/>
      <c r="D1608" s="61" t="s">
        <v>791</v>
      </c>
      <c r="E1608" s="340" t="s">
        <v>24</v>
      </c>
      <c r="F1608" s="338">
        <f>3.3+3.3+0.15+0.15</f>
        <v>6.9</v>
      </c>
      <c r="G1608" s="338">
        <v>3</v>
      </c>
      <c r="H1608" s="385">
        <f>G1608*F1608</f>
        <v>20.700000000000003</v>
      </c>
    </row>
    <row r="1609" spans="1:8" s="69" customFormat="1" ht="19.5" customHeight="1" x14ac:dyDescent="0.25">
      <c r="B1609" s="389"/>
      <c r="C1609" s="278"/>
      <c r="D1609" s="61" t="s">
        <v>777</v>
      </c>
      <c r="E1609" s="340" t="s">
        <v>24</v>
      </c>
      <c r="F1609" s="338">
        <v>1.8</v>
      </c>
      <c r="G1609" s="338">
        <v>1.4</v>
      </c>
      <c r="H1609" s="385">
        <f>-G1609*F1609</f>
        <v>-2.52</v>
      </c>
    </row>
    <row r="1610" spans="1:8" s="69" customFormat="1" ht="19.5" customHeight="1" x14ac:dyDescent="0.25">
      <c r="B1610" s="389"/>
      <c r="C1610" s="278"/>
      <c r="D1610" s="61" t="s">
        <v>778</v>
      </c>
      <c r="E1610" s="340" t="s">
        <v>24</v>
      </c>
      <c r="F1610" s="338">
        <v>1.9</v>
      </c>
      <c r="G1610" s="338">
        <v>0.75</v>
      </c>
      <c r="H1610" s="385">
        <f>-G1610*F1610</f>
        <v>-1.4249999999999998</v>
      </c>
    </row>
    <row r="1611" spans="1:8" s="69" customFormat="1" ht="19.5" customHeight="1" x14ac:dyDescent="0.25">
      <c r="B1611" s="389"/>
      <c r="C1611" s="278"/>
      <c r="D1611" s="61" t="s">
        <v>792</v>
      </c>
      <c r="E1611" s="340" t="s">
        <v>24</v>
      </c>
      <c r="F1611" s="331">
        <v>24.94</v>
      </c>
      <c r="G1611" s="331">
        <v>3</v>
      </c>
      <c r="H1611" s="385">
        <f>G1611*F1611</f>
        <v>74.820000000000007</v>
      </c>
    </row>
    <row r="1612" spans="1:8" s="69" customFormat="1" ht="19.5" customHeight="1" x14ac:dyDescent="0.25">
      <c r="B1612" s="389"/>
      <c r="C1612" s="278"/>
      <c r="D1612" s="61" t="s">
        <v>767</v>
      </c>
      <c r="E1612" s="340" t="s">
        <v>24</v>
      </c>
      <c r="F1612" s="331">
        <v>1</v>
      </c>
      <c r="G1612" s="331">
        <v>2.1</v>
      </c>
      <c r="H1612" s="385">
        <f>-G1612*F1612*2</f>
        <v>-4.2</v>
      </c>
    </row>
    <row r="1613" spans="1:8" s="69" customFormat="1" ht="19.5" customHeight="1" x14ac:dyDescent="0.25">
      <c r="B1613" s="389"/>
      <c r="C1613" s="278"/>
      <c r="D1613" s="61" t="s">
        <v>766</v>
      </c>
      <c r="E1613" s="340" t="s">
        <v>24</v>
      </c>
      <c r="F1613" s="331">
        <v>1.8</v>
      </c>
      <c r="G1613" s="331">
        <v>1.4</v>
      </c>
      <c r="H1613" s="385">
        <f>-4*G1613*F1613</f>
        <v>-10.08</v>
      </c>
    </row>
    <row r="1614" spans="1:8" s="69" customFormat="1" ht="19.5" customHeight="1" x14ac:dyDescent="0.25">
      <c r="B1614" s="389"/>
      <c r="C1614" s="278"/>
      <c r="D1614" s="61" t="s">
        <v>793</v>
      </c>
      <c r="E1614" s="340" t="s">
        <v>24</v>
      </c>
      <c r="F1614" s="331">
        <f>6.27*2+0.3</f>
        <v>12.84</v>
      </c>
      <c r="G1614" s="331">
        <v>3</v>
      </c>
      <c r="H1614" s="385">
        <f>G1614*F1614</f>
        <v>38.519999999999996</v>
      </c>
    </row>
    <row r="1615" spans="1:8" s="69" customFormat="1" ht="19.5" customHeight="1" x14ac:dyDescent="0.25">
      <c r="B1615" s="389"/>
      <c r="C1615" s="278"/>
      <c r="D1615" s="61" t="s">
        <v>773</v>
      </c>
      <c r="E1615" s="340" t="s">
        <v>24</v>
      </c>
      <c r="F1615" s="331">
        <v>1</v>
      </c>
      <c r="G1615" s="331">
        <v>2.1</v>
      </c>
      <c r="H1615" s="385">
        <f>-G1615*F1615</f>
        <v>-2.1</v>
      </c>
    </row>
    <row r="1616" spans="1:8" s="69" customFormat="1" ht="19.5" customHeight="1" x14ac:dyDescent="0.25">
      <c r="B1616" s="389"/>
      <c r="C1616" s="278"/>
      <c r="D1616" s="61" t="s">
        <v>766</v>
      </c>
      <c r="E1616" s="340" t="s">
        <v>24</v>
      </c>
      <c r="F1616" s="331">
        <v>1.8</v>
      </c>
      <c r="G1616" s="331">
        <v>1.4</v>
      </c>
      <c r="H1616" s="385">
        <f t="shared" ref="H1616" si="90">-4*G1616*F1616</f>
        <v>-10.08</v>
      </c>
    </row>
    <row r="1617" spans="2:8" s="69" customFormat="1" ht="19.5" customHeight="1" x14ac:dyDescent="0.25">
      <c r="B1617" s="389"/>
      <c r="C1617" s="278"/>
      <c r="D1617" s="61" t="s">
        <v>795</v>
      </c>
      <c r="E1617" s="340" t="s">
        <v>24</v>
      </c>
      <c r="F1617" s="331">
        <v>25.09</v>
      </c>
      <c r="G1617" s="331">
        <v>3</v>
      </c>
      <c r="H1617" s="385">
        <f>G1617*F1617</f>
        <v>75.27</v>
      </c>
    </row>
    <row r="1618" spans="2:8" s="69" customFormat="1" ht="19.5" customHeight="1" x14ac:dyDescent="0.25">
      <c r="B1618" s="389"/>
      <c r="C1618" s="278"/>
      <c r="D1618" s="61" t="s">
        <v>767</v>
      </c>
      <c r="E1618" s="340" t="s">
        <v>24</v>
      </c>
      <c r="F1618" s="331">
        <v>1</v>
      </c>
      <c r="G1618" s="331">
        <v>2.1</v>
      </c>
      <c r="H1618" s="385">
        <f>-G1618*F1618*2</f>
        <v>-4.2</v>
      </c>
    </row>
    <row r="1619" spans="2:8" s="69" customFormat="1" ht="19.5" customHeight="1" x14ac:dyDescent="0.25">
      <c r="B1619" s="389"/>
      <c r="C1619" s="278"/>
      <c r="D1619" s="61" t="s">
        <v>766</v>
      </c>
      <c r="E1619" s="340" t="s">
        <v>24</v>
      </c>
      <c r="F1619" s="331">
        <v>1.8</v>
      </c>
      <c r="G1619" s="331">
        <v>1.4</v>
      </c>
      <c r="H1619" s="385">
        <f>-4*G1619*F1619</f>
        <v>-10.08</v>
      </c>
    </row>
    <row r="1620" spans="2:8" s="69" customFormat="1" ht="19.5" customHeight="1" x14ac:dyDescent="0.25">
      <c r="B1620" s="389"/>
      <c r="C1620" s="278"/>
      <c r="D1620" s="61" t="s">
        <v>796</v>
      </c>
      <c r="E1620" s="340" t="s">
        <v>24</v>
      </c>
      <c r="F1620" s="331">
        <v>12.99</v>
      </c>
      <c r="G1620" s="331">
        <v>3</v>
      </c>
      <c r="H1620" s="385">
        <f>G1620*F1620</f>
        <v>38.97</v>
      </c>
    </row>
    <row r="1621" spans="2:8" s="69" customFormat="1" ht="19.5" customHeight="1" x14ac:dyDescent="0.25">
      <c r="B1621" s="389"/>
      <c r="C1621" s="278"/>
      <c r="D1621" s="61" t="s">
        <v>773</v>
      </c>
      <c r="E1621" s="340" t="s">
        <v>24</v>
      </c>
      <c r="F1621" s="331">
        <v>1</v>
      </c>
      <c r="G1621" s="331">
        <v>2.1</v>
      </c>
      <c r="H1621" s="385">
        <f>-G1621*F1621</f>
        <v>-2.1</v>
      </c>
    </row>
    <row r="1622" spans="2:8" s="69" customFormat="1" ht="19.5" customHeight="1" x14ac:dyDescent="0.25">
      <c r="B1622" s="389"/>
      <c r="C1622" s="278"/>
      <c r="D1622" s="61" t="s">
        <v>766</v>
      </c>
      <c r="E1622" s="340" t="s">
        <v>24</v>
      </c>
      <c r="F1622" s="331">
        <v>1.8</v>
      </c>
      <c r="G1622" s="331">
        <v>1.4</v>
      </c>
      <c r="H1622" s="385">
        <f t="shared" ref="H1622" si="91">-4*G1622*F1622</f>
        <v>-10.08</v>
      </c>
    </row>
    <row r="1623" spans="2:8" s="69" customFormat="1" ht="19.5" customHeight="1" x14ac:dyDescent="0.25">
      <c r="B1623" s="389"/>
      <c r="C1623" s="278"/>
      <c r="D1623" s="61" t="s">
        <v>800</v>
      </c>
      <c r="E1623" s="340" t="s">
        <v>24</v>
      </c>
      <c r="F1623" s="338">
        <f>12.81-9.46</f>
        <v>3.3499999999999996</v>
      </c>
      <c r="G1623" s="338">
        <v>3</v>
      </c>
      <c r="H1623" s="385">
        <f>G1623*F1623</f>
        <v>10.049999999999999</v>
      </c>
    </row>
    <row r="1624" spans="2:8" s="69" customFormat="1" ht="19.5" customHeight="1" x14ac:dyDescent="0.25">
      <c r="B1624" s="389"/>
      <c r="C1624" s="278"/>
      <c r="D1624" s="61" t="s">
        <v>773</v>
      </c>
      <c r="E1624" s="340" t="s">
        <v>24</v>
      </c>
      <c r="F1624" s="331">
        <v>1</v>
      </c>
      <c r="G1624" s="338">
        <v>2.1</v>
      </c>
      <c r="H1624" s="385">
        <f>-G1624*F1624</f>
        <v>-2.1</v>
      </c>
    </row>
    <row r="1625" spans="2:8" s="69" customFormat="1" ht="19.5" customHeight="1" x14ac:dyDescent="0.25">
      <c r="B1625" s="390"/>
      <c r="C1625" s="279"/>
      <c r="D1625" s="61" t="s">
        <v>766</v>
      </c>
      <c r="E1625" s="340" t="s">
        <v>24</v>
      </c>
      <c r="F1625" s="331">
        <v>1.8</v>
      </c>
      <c r="G1625" s="338">
        <v>1.4</v>
      </c>
      <c r="H1625" s="385">
        <f>-4*G1625*F1625</f>
        <v>-10.08</v>
      </c>
    </row>
    <row r="1626" spans="2:8" s="69" customFormat="1" ht="19.5" customHeight="1" x14ac:dyDescent="0.25">
      <c r="B1626" s="388"/>
      <c r="C1626" s="277"/>
      <c r="D1626" s="61" t="s">
        <v>802</v>
      </c>
      <c r="E1626" s="340" t="s">
        <v>24</v>
      </c>
      <c r="F1626" s="331">
        <v>12.99</v>
      </c>
      <c r="G1626" s="331">
        <v>3</v>
      </c>
      <c r="H1626" s="385">
        <f>F1626*G1626</f>
        <v>38.97</v>
      </c>
    </row>
    <row r="1627" spans="2:8" s="69" customFormat="1" ht="19.5" customHeight="1" x14ac:dyDescent="0.25">
      <c r="B1627" s="389"/>
      <c r="C1627" s="278"/>
      <c r="D1627" s="61" t="s">
        <v>773</v>
      </c>
      <c r="E1627" s="340" t="s">
        <v>24</v>
      </c>
      <c r="F1627" s="331">
        <v>1</v>
      </c>
      <c r="G1627" s="338">
        <v>2.1</v>
      </c>
      <c r="H1627" s="385">
        <f>-G1627*F1627</f>
        <v>-2.1</v>
      </c>
    </row>
    <row r="1628" spans="2:8" s="69" customFormat="1" ht="19.5" customHeight="1" x14ac:dyDescent="0.25">
      <c r="B1628" s="389"/>
      <c r="C1628" s="278"/>
      <c r="D1628" s="61" t="s">
        <v>766</v>
      </c>
      <c r="E1628" s="340" t="s">
        <v>24</v>
      </c>
      <c r="F1628" s="331">
        <v>1.8</v>
      </c>
      <c r="G1628" s="338">
        <v>1.4</v>
      </c>
      <c r="H1628" s="385">
        <f>-4*G1628*F1628</f>
        <v>-10.08</v>
      </c>
    </row>
    <row r="1629" spans="2:8" s="69" customFormat="1" ht="19.5" customHeight="1" x14ac:dyDescent="0.25">
      <c r="B1629" s="389"/>
      <c r="C1629" s="278"/>
      <c r="D1629" s="61" t="s">
        <v>805</v>
      </c>
      <c r="E1629" s="340" t="s">
        <v>24</v>
      </c>
      <c r="F1629" s="338">
        <f>-4.25+6.2+6.2+4.015+4.015</f>
        <v>16.18</v>
      </c>
      <c r="G1629" s="338">
        <v>3</v>
      </c>
      <c r="H1629" s="385">
        <f>G1629*F1629</f>
        <v>48.54</v>
      </c>
    </row>
    <row r="1630" spans="2:8" s="69" customFormat="1" ht="19.5" customHeight="1" x14ac:dyDescent="0.25">
      <c r="B1630" s="389"/>
      <c r="C1630" s="278"/>
      <c r="D1630" s="61" t="s">
        <v>773</v>
      </c>
      <c r="E1630" s="340" t="s">
        <v>24</v>
      </c>
      <c r="F1630" s="331">
        <v>1</v>
      </c>
      <c r="G1630" s="338">
        <v>2.1</v>
      </c>
      <c r="H1630" s="385">
        <f>-G1630*F1630</f>
        <v>-2.1</v>
      </c>
    </row>
    <row r="1631" spans="2:8" s="69" customFormat="1" ht="19.5" customHeight="1" x14ac:dyDescent="0.25">
      <c r="B1631" s="389"/>
      <c r="C1631" s="278"/>
      <c r="D1631" s="61" t="s">
        <v>806</v>
      </c>
      <c r="E1631" s="340" t="s">
        <v>24</v>
      </c>
      <c r="F1631" s="331">
        <v>1.8</v>
      </c>
      <c r="G1631" s="338">
        <v>1.4</v>
      </c>
      <c r="H1631" s="385">
        <f>-2*G1631*F1631</f>
        <v>-5.04</v>
      </c>
    </row>
    <row r="1632" spans="2:8" s="69" customFormat="1" ht="19.5" customHeight="1" x14ac:dyDescent="0.25">
      <c r="B1632" s="389"/>
      <c r="C1632" s="278"/>
      <c r="D1632" s="61" t="s">
        <v>813</v>
      </c>
      <c r="E1632" s="340" t="s">
        <v>24</v>
      </c>
      <c r="F1632" s="331">
        <f>7.4+7.4+6+6-(5.6)</f>
        <v>21.200000000000003</v>
      </c>
      <c r="G1632" s="331">
        <v>3</v>
      </c>
      <c r="H1632" s="385">
        <f>G1632*F1632</f>
        <v>63.600000000000009</v>
      </c>
    </row>
    <row r="1633" spans="2:8" s="69" customFormat="1" ht="19.5" customHeight="1" x14ac:dyDescent="0.25">
      <c r="B1633" s="389"/>
      <c r="C1633" s="278"/>
      <c r="D1633" s="61" t="s">
        <v>773</v>
      </c>
      <c r="E1633" s="340" t="s">
        <v>24</v>
      </c>
      <c r="F1633" s="331">
        <v>1</v>
      </c>
      <c r="G1633" s="338">
        <v>2.1</v>
      </c>
      <c r="H1633" s="385">
        <f>-G1633*F1633</f>
        <v>-2.1</v>
      </c>
    </row>
    <row r="1634" spans="2:8" s="69" customFormat="1" ht="19.5" customHeight="1" x14ac:dyDescent="0.25">
      <c r="B1634" s="389"/>
      <c r="C1634" s="278"/>
      <c r="D1634" s="61" t="s">
        <v>814</v>
      </c>
      <c r="E1634" s="340" t="s">
        <v>24</v>
      </c>
      <c r="F1634" s="331">
        <v>2.5</v>
      </c>
      <c r="G1634" s="338">
        <v>1.4</v>
      </c>
      <c r="H1634" s="385">
        <f>-3*G1634*F1634</f>
        <v>-10.499999999999998</v>
      </c>
    </row>
    <row r="1635" spans="2:8" s="69" customFormat="1" ht="19.5" customHeight="1" x14ac:dyDescent="0.25">
      <c r="B1635" s="389"/>
      <c r="C1635" s="278"/>
      <c r="D1635" s="61" t="s">
        <v>817</v>
      </c>
      <c r="E1635" s="340" t="s">
        <v>24</v>
      </c>
      <c r="F1635" s="331">
        <f>6+7.4+1.25+0.15+0.075+0.2+0.2</f>
        <v>15.274999999999999</v>
      </c>
      <c r="G1635" s="338">
        <v>3</v>
      </c>
      <c r="H1635" s="385">
        <f>G1635*F1635</f>
        <v>45.824999999999996</v>
      </c>
    </row>
    <row r="1636" spans="2:8" s="69" customFormat="1" ht="19.5" customHeight="1" x14ac:dyDescent="0.25">
      <c r="B1636" s="389"/>
      <c r="C1636" s="278"/>
      <c r="D1636" s="61" t="s">
        <v>773</v>
      </c>
      <c r="E1636" s="340" t="s">
        <v>24</v>
      </c>
      <c r="F1636" s="331">
        <v>1</v>
      </c>
      <c r="G1636" s="338">
        <v>2.1</v>
      </c>
      <c r="H1636" s="385">
        <f>-G1636*F1636</f>
        <v>-2.1</v>
      </c>
    </row>
    <row r="1637" spans="2:8" s="69" customFormat="1" ht="19.5" customHeight="1" x14ac:dyDescent="0.25">
      <c r="B1637" s="389"/>
      <c r="C1637" s="278"/>
      <c r="D1637" s="61" t="s">
        <v>816</v>
      </c>
      <c r="E1637" s="340" t="s">
        <v>24</v>
      </c>
      <c r="F1637" s="331">
        <v>2.5</v>
      </c>
      <c r="G1637" s="338">
        <v>1.4</v>
      </c>
      <c r="H1637" s="385">
        <f>-4*G1637*F1637</f>
        <v>-14</v>
      </c>
    </row>
    <row r="1638" spans="2:8" s="69" customFormat="1" ht="19.5" customHeight="1" x14ac:dyDescent="0.25">
      <c r="B1638" s="389"/>
      <c r="C1638" s="278"/>
      <c r="D1638" s="61" t="s">
        <v>848</v>
      </c>
      <c r="E1638" s="340" t="s">
        <v>24</v>
      </c>
      <c r="F1638" s="331">
        <f t="shared" ref="F1638" si="92">14.75+0.075+0.05+11.2+0.075</f>
        <v>26.15</v>
      </c>
      <c r="G1638" s="338">
        <v>3</v>
      </c>
      <c r="H1638" s="385">
        <f t="shared" ref="H1638" si="93">G1638*F1638</f>
        <v>78.449999999999989</v>
      </c>
    </row>
    <row r="1639" spans="2:8" s="69" customFormat="1" ht="19.5" customHeight="1" x14ac:dyDescent="0.25">
      <c r="B1639" s="389"/>
      <c r="C1639" s="278"/>
      <c r="D1639" s="61" t="s">
        <v>767</v>
      </c>
      <c r="E1639" s="340" t="s">
        <v>24</v>
      </c>
      <c r="F1639" s="331">
        <v>1</v>
      </c>
      <c r="G1639" s="338">
        <v>2.1</v>
      </c>
      <c r="H1639" s="385">
        <f t="shared" ref="H1639" si="94">-G1639*F1639*2</f>
        <v>-4.2</v>
      </c>
    </row>
    <row r="1640" spans="2:8" s="69" customFormat="1" ht="19.5" customHeight="1" x14ac:dyDescent="0.25">
      <c r="B1640" s="389"/>
      <c r="C1640" s="278"/>
      <c r="D1640" s="61" t="s">
        <v>849</v>
      </c>
      <c r="E1640" s="340" t="s">
        <v>24</v>
      </c>
      <c r="F1640" s="331">
        <v>2.5</v>
      </c>
      <c r="G1640" s="338">
        <v>1.4</v>
      </c>
      <c r="H1640" s="385">
        <f t="shared" ref="H1640" si="95">-6*G1640*F1640</f>
        <v>-20.999999999999996</v>
      </c>
    </row>
    <row r="1641" spans="2:8" s="69" customFormat="1" ht="19.5" customHeight="1" x14ac:dyDescent="0.25">
      <c r="B1641" s="389"/>
      <c r="C1641" s="278"/>
      <c r="D1641" s="61" t="s">
        <v>853</v>
      </c>
      <c r="E1641" s="340" t="s">
        <v>24</v>
      </c>
      <c r="F1641" s="331">
        <f>8.14+8.08+6.35+6.35</f>
        <v>28.92</v>
      </c>
      <c r="G1641" s="331">
        <v>2</v>
      </c>
      <c r="H1641" s="385">
        <f>G1641*F1641</f>
        <v>57.84</v>
      </c>
    </row>
    <row r="1642" spans="2:8" s="69" customFormat="1" ht="19.5" customHeight="1" x14ac:dyDescent="0.25">
      <c r="B1642" s="389"/>
      <c r="C1642" s="278"/>
      <c r="D1642" s="61" t="s">
        <v>856</v>
      </c>
      <c r="E1642" s="340" t="s">
        <v>24</v>
      </c>
      <c r="F1642" s="331">
        <v>1.26</v>
      </c>
      <c r="G1642" s="331">
        <v>2.1</v>
      </c>
      <c r="H1642" s="385">
        <f>2*-F1642*G1642</f>
        <v>-5.2920000000000007</v>
      </c>
    </row>
    <row r="1643" spans="2:8" s="69" customFormat="1" ht="19.5" customHeight="1" x14ac:dyDescent="0.25">
      <c r="B1643" s="389"/>
      <c r="C1643" s="278"/>
      <c r="D1643" s="61" t="s">
        <v>857</v>
      </c>
      <c r="E1643" s="340" t="s">
        <v>24</v>
      </c>
      <c r="F1643" s="331">
        <v>6.8</v>
      </c>
      <c r="G1643" s="331">
        <v>0.75</v>
      </c>
      <c r="H1643" s="385">
        <f t="shared" ref="H1643:H1644" si="96">2*-F1643*G1643</f>
        <v>-10.199999999999999</v>
      </c>
    </row>
    <row r="1644" spans="2:8" s="69" customFormat="1" ht="19.5" customHeight="1" x14ac:dyDescent="0.25">
      <c r="B1644" s="389"/>
      <c r="C1644" s="278"/>
      <c r="D1644" s="61" t="s">
        <v>858</v>
      </c>
      <c r="E1644" s="340" t="s">
        <v>24</v>
      </c>
      <c r="F1644" s="331">
        <v>0.8</v>
      </c>
      <c r="G1644" s="331">
        <v>2.1</v>
      </c>
      <c r="H1644" s="385">
        <f t="shared" si="96"/>
        <v>-3.3600000000000003</v>
      </c>
    </row>
    <row r="1645" spans="2:8" s="69" customFormat="1" ht="19.5" customHeight="1" x14ac:dyDescent="0.25">
      <c r="B1645" s="389"/>
      <c r="C1645" s="278"/>
      <c r="D1645" s="61" t="s">
        <v>854</v>
      </c>
      <c r="E1645" s="340" t="s">
        <v>24</v>
      </c>
      <c r="F1645" s="331">
        <f>8.4+8.4+6.35+6.35</f>
        <v>29.5</v>
      </c>
      <c r="G1645" s="331">
        <v>2</v>
      </c>
      <c r="H1645" s="385">
        <f t="shared" ref="H1645:H1649" si="97">G1645*F1645</f>
        <v>59</v>
      </c>
    </row>
    <row r="1646" spans="2:8" s="69" customFormat="1" ht="19.5" customHeight="1" x14ac:dyDescent="0.25">
      <c r="B1646" s="389"/>
      <c r="C1646" s="278"/>
      <c r="D1646" s="61" t="s">
        <v>856</v>
      </c>
      <c r="E1646" s="340" t="s">
        <v>24</v>
      </c>
      <c r="F1646" s="331">
        <v>1.26</v>
      </c>
      <c r="G1646" s="331">
        <v>2.1</v>
      </c>
      <c r="H1646" s="385">
        <f>2*-F1646*G1646</f>
        <v>-5.2920000000000007</v>
      </c>
    </row>
    <row r="1647" spans="2:8" s="69" customFormat="1" ht="19.5" customHeight="1" x14ac:dyDescent="0.25">
      <c r="B1647" s="389"/>
      <c r="C1647" s="278"/>
      <c r="D1647" s="61" t="s">
        <v>857</v>
      </c>
      <c r="E1647" s="340" t="s">
        <v>24</v>
      </c>
      <c r="F1647" s="331">
        <v>6.8</v>
      </c>
      <c r="G1647" s="331">
        <v>0.75</v>
      </c>
      <c r="H1647" s="385">
        <f t="shared" ref="H1647:H1648" si="98">2*-F1647*G1647</f>
        <v>-10.199999999999999</v>
      </c>
    </row>
    <row r="1648" spans="2:8" s="69" customFormat="1" ht="19.5" customHeight="1" x14ac:dyDescent="0.25">
      <c r="B1648" s="389"/>
      <c r="C1648" s="278"/>
      <c r="D1648" s="61" t="s">
        <v>858</v>
      </c>
      <c r="E1648" s="340" t="s">
        <v>24</v>
      </c>
      <c r="F1648" s="331">
        <v>0.8</v>
      </c>
      <c r="G1648" s="331">
        <v>2.1</v>
      </c>
      <c r="H1648" s="385">
        <f t="shared" si="98"/>
        <v>-3.3600000000000003</v>
      </c>
    </row>
    <row r="1649" spans="2:8" s="69" customFormat="1" ht="19.5" customHeight="1" x14ac:dyDescent="0.25">
      <c r="B1649" s="389"/>
      <c r="C1649" s="278"/>
      <c r="D1649" s="61" t="s">
        <v>855</v>
      </c>
      <c r="E1649" s="340" t="s">
        <v>24</v>
      </c>
      <c r="F1649" s="331">
        <f>7.59+7.59+6.35+6.35</f>
        <v>27.880000000000003</v>
      </c>
      <c r="G1649" s="331">
        <v>2</v>
      </c>
      <c r="H1649" s="385">
        <f t="shared" si="97"/>
        <v>55.760000000000005</v>
      </c>
    </row>
    <row r="1650" spans="2:8" s="69" customFormat="1" ht="19.5" customHeight="1" x14ac:dyDescent="0.25">
      <c r="B1650" s="389"/>
      <c r="C1650" s="278"/>
      <c r="D1650" s="61" t="s">
        <v>773</v>
      </c>
      <c r="E1650" s="340" t="s">
        <v>24</v>
      </c>
      <c r="F1650" s="331">
        <v>1</v>
      </c>
      <c r="G1650" s="338">
        <v>2.1</v>
      </c>
      <c r="H1650" s="385">
        <f>-G1650*F1650*1</f>
        <v>-2.1</v>
      </c>
    </row>
    <row r="1651" spans="2:8" s="69" customFormat="1" ht="19.5" customHeight="1" x14ac:dyDescent="0.25">
      <c r="B1651" s="389"/>
      <c r="C1651" s="278"/>
      <c r="D1651" s="61" t="s">
        <v>816</v>
      </c>
      <c r="E1651" s="340" t="s">
        <v>24</v>
      </c>
      <c r="F1651" s="331">
        <v>2.5</v>
      </c>
      <c r="G1651" s="338">
        <v>1.4</v>
      </c>
      <c r="H1651" s="385">
        <f>-4*G1651*F1651</f>
        <v>-14</v>
      </c>
    </row>
    <row r="1652" spans="2:8" s="69" customFormat="1" ht="19.5" customHeight="1" x14ac:dyDescent="0.25">
      <c r="B1652" s="389"/>
      <c r="C1652" s="278"/>
      <c r="D1652" s="61" t="s">
        <v>859</v>
      </c>
      <c r="E1652" s="340" t="s">
        <v>24</v>
      </c>
      <c r="F1652" s="331">
        <f>8.14+0.018+0.15+1.46+8.08+0.075</f>
        <v>17.922999999999998</v>
      </c>
      <c r="G1652" s="331">
        <v>3</v>
      </c>
      <c r="H1652" s="385">
        <f>G1652*F1652</f>
        <v>53.768999999999991</v>
      </c>
    </row>
    <row r="1653" spans="2:8" s="69" customFormat="1" ht="19.5" customHeight="1" x14ac:dyDescent="0.25">
      <c r="B1653" s="389"/>
      <c r="C1653" s="278"/>
      <c r="D1653" s="61" t="s">
        <v>856</v>
      </c>
      <c r="E1653" s="340" t="s">
        <v>24</v>
      </c>
      <c r="F1653" s="331">
        <v>1.26</v>
      </c>
      <c r="G1653" s="331">
        <v>2.1</v>
      </c>
      <c r="H1653" s="385">
        <f>2*-F1653*G1653</f>
        <v>-5.2920000000000007</v>
      </c>
    </row>
    <row r="1654" spans="2:8" s="69" customFormat="1" ht="19.5" customHeight="1" x14ac:dyDescent="0.25">
      <c r="B1654" s="389"/>
      <c r="C1654" s="278"/>
      <c r="D1654" s="61" t="s">
        <v>857</v>
      </c>
      <c r="E1654" s="340" t="s">
        <v>24</v>
      </c>
      <c r="F1654" s="331">
        <v>6.8</v>
      </c>
      <c r="G1654" s="331">
        <v>0.75</v>
      </c>
      <c r="H1654" s="385">
        <f t="shared" ref="H1654" si="99">2*-F1654*G1654</f>
        <v>-10.199999999999999</v>
      </c>
    </row>
    <row r="1655" spans="2:8" s="69" customFormat="1" ht="19.5" customHeight="1" x14ac:dyDescent="0.25">
      <c r="B1655" s="389"/>
      <c r="C1655" s="278"/>
      <c r="D1655" s="61" t="s">
        <v>860</v>
      </c>
      <c r="E1655" s="340" t="s">
        <v>24</v>
      </c>
      <c r="F1655" s="331">
        <f>8.4+0.09+0.18+0.15+1.46+8.4+0.09</f>
        <v>18.77</v>
      </c>
      <c r="G1655" s="331">
        <v>3</v>
      </c>
      <c r="H1655" s="385">
        <f t="shared" ref="H1655" si="100">G1655*F1655</f>
        <v>56.31</v>
      </c>
    </row>
    <row r="1656" spans="2:8" s="69" customFormat="1" ht="19.5" customHeight="1" x14ac:dyDescent="0.25">
      <c r="B1656" s="389"/>
      <c r="C1656" s="278"/>
      <c r="D1656" s="61" t="s">
        <v>856</v>
      </c>
      <c r="E1656" s="340" t="s">
        <v>24</v>
      </c>
      <c r="F1656" s="331">
        <v>1.26</v>
      </c>
      <c r="G1656" s="331">
        <v>2.1</v>
      </c>
      <c r="H1656" s="385">
        <f>2*-F1656*G1656</f>
        <v>-5.2920000000000007</v>
      </c>
    </row>
    <row r="1657" spans="2:8" s="69" customFormat="1" ht="19.5" customHeight="1" x14ac:dyDescent="0.25">
      <c r="B1657" s="389"/>
      <c r="C1657" s="278"/>
      <c r="D1657" s="61" t="s">
        <v>857</v>
      </c>
      <c r="E1657" s="340" t="s">
        <v>24</v>
      </c>
      <c r="F1657" s="331">
        <v>6.8</v>
      </c>
      <c r="G1657" s="331">
        <v>0.75</v>
      </c>
      <c r="H1657" s="385">
        <f t="shared" ref="H1657" si="101">2*-F1657*G1657</f>
        <v>-10.199999999999999</v>
      </c>
    </row>
    <row r="1658" spans="2:8" s="69" customFormat="1" ht="19.5" customHeight="1" x14ac:dyDescent="0.25">
      <c r="B1658" s="389"/>
      <c r="C1658" s="278"/>
      <c r="D1658" s="61" t="s">
        <v>861</v>
      </c>
      <c r="E1658" s="340" t="s">
        <v>24</v>
      </c>
      <c r="F1658" s="331">
        <f>0.09+7.59+0.15+0.15+6.35+0.15+0.15+7.59+0.09</f>
        <v>22.31</v>
      </c>
      <c r="G1658" s="331">
        <v>3</v>
      </c>
      <c r="H1658" s="385">
        <f t="shared" ref="H1658" si="102">G1658*F1658</f>
        <v>66.929999999999993</v>
      </c>
    </row>
    <row r="1659" spans="2:8" s="69" customFormat="1" ht="19.5" customHeight="1" x14ac:dyDescent="0.25">
      <c r="B1659" s="389"/>
      <c r="C1659" s="278"/>
      <c r="D1659" s="61" t="s">
        <v>773</v>
      </c>
      <c r="E1659" s="340" t="s">
        <v>24</v>
      </c>
      <c r="F1659" s="331">
        <v>1</v>
      </c>
      <c r="G1659" s="338">
        <v>2.1</v>
      </c>
      <c r="H1659" s="385">
        <f>-G1659*F1659*1</f>
        <v>-2.1</v>
      </c>
    </row>
    <row r="1660" spans="2:8" s="69" customFormat="1" ht="19.5" customHeight="1" x14ac:dyDescent="0.25">
      <c r="B1660" s="389"/>
      <c r="C1660" s="278"/>
      <c r="D1660" s="61" t="s">
        <v>816</v>
      </c>
      <c r="E1660" s="340" t="s">
        <v>24</v>
      </c>
      <c r="F1660" s="331">
        <v>2.5</v>
      </c>
      <c r="G1660" s="338">
        <v>1.4</v>
      </c>
      <c r="H1660" s="385">
        <f>-4*G1660*F1660</f>
        <v>-14</v>
      </c>
    </row>
    <row r="1661" spans="2:8" s="69" customFormat="1" ht="19.5" customHeight="1" x14ac:dyDescent="0.25">
      <c r="B1661" s="389"/>
      <c r="C1661" s="278"/>
      <c r="D1661" s="61" t="s">
        <v>862</v>
      </c>
      <c r="E1661" s="340" t="s">
        <v>24</v>
      </c>
      <c r="F1661" s="331">
        <f>1.72+0.18+0.18+2.98+0.18+0.18+1.72</f>
        <v>7.14</v>
      </c>
      <c r="G1661" s="331">
        <v>3</v>
      </c>
      <c r="H1661" s="385">
        <f>G1661*F1661</f>
        <v>21.419999999999998</v>
      </c>
    </row>
    <row r="1662" spans="2:8" s="69" customFormat="1" ht="19.5" customHeight="1" x14ac:dyDescent="0.25">
      <c r="B1662" s="389"/>
      <c r="C1662" s="278"/>
      <c r="D1662" s="61" t="s">
        <v>864</v>
      </c>
      <c r="E1662" s="340" t="s">
        <v>24</v>
      </c>
      <c r="F1662" s="331">
        <v>1.3</v>
      </c>
      <c r="G1662" s="338">
        <v>1.4</v>
      </c>
      <c r="H1662" s="385">
        <f>-G1662*F1662*2</f>
        <v>-3.6399999999999997</v>
      </c>
    </row>
    <row r="1663" spans="2:8" s="69" customFormat="1" ht="19.5" customHeight="1" x14ac:dyDescent="0.25">
      <c r="B1663" s="389"/>
      <c r="C1663" s="278"/>
      <c r="D1663" s="61" t="s">
        <v>865</v>
      </c>
      <c r="E1663" s="340" t="s">
        <v>24</v>
      </c>
      <c r="F1663" s="331">
        <v>2</v>
      </c>
      <c r="G1663" s="338">
        <v>1.4</v>
      </c>
      <c r="H1663" s="385">
        <f>-G1663*F1663</f>
        <v>-2.8</v>
      </c>
    </row>
    <row r="1664" spans="2:8" s="69" customFormat="1" ht="19.5" customHeight="1" x14ac:dyDescent="0.25">
      <c r="B1664" s="389"/>
      <c r="C1664" s="278"/>
      <c r="D1664" s="61" t="s">
        <v>863</v>
      </c>
      <c r="E1664" s="340" t="s">
        <v>24</v>
      </c>
      <c r="F1664" s="331">
        <f>1.46+0.15+2.98+1.46+0.15</f>
        <v>6.2</v>
      </c>
      <c r="G1664" s="331">
        <v>3</v>
      </c>
      <c r="H1664" s="385">
        <f>G1664*F1664</f>
        <v>18.600000000000001</v>
      </c>
    </row>
    <row r="1665" spans="2:8" s="69" customFormat="1" ht="19.5" customHeight="1" x14ac:dyDescent="0.25">
      <c r="B1665" s="389"/>
      <c r="C1665" s="278"/>
      <c r="D1665" s="61" t="s">
        <v>865</v>
      </c>
      <c r="E1665" s="340" t="s">
        <v>24</v>
      </c>
      <c r="F1665" s="331">
        <v>2</v>
      </c>
      <c r="G1665" s="338">
        <v>1.4</v>
      </c>
      <c r="H1665" s="385">
        <f>-G1665*F1665</f>
        <v>-2.8</v>
      </c>
    </row>
    <row r="1666" spans="2:8" s="69" customFormat="1" ht="19.5" customHeight="1" x14ac:dyDescent="0.25">
      <c r="B1666" s="389"/>
      <c r="C1666" s="278"/>
      <c r="D1666" s="61" t="s">
        <v>856</v>
      </c>
      <c r="E1666" s="340" t="s">
        <v>24</v>
      </c>
      <c r="F1666" s="331">
        <v>1.26</v>
      </c>
      <c r="G1666" s="331">
        <v>2.1</v>
      </c>
      <c r="H1666" s="385">
        <f>2*-F1666*G1666</f>
        <v>-5.2920000000000007</v>
      </c>
    </row>
    <row r="1667" spans="2:8" s="69" customFormat="1" ht="19.5" customHeight="1" x14ac:dyDescent="0.25">
      <c r="B1667" s="389"/>
      <c r="C1667" s="278"/>
      <c r="D1667" s="61" t="s">
        <v>866</v>
      </c>
      <c r="E1667" s="340" t="s">
        <v>24</v>
      </c>
      <c r="F1667" s="331">
        <f>2.98+2.98+3.19+3.19</f>
        <v>12.34</v>
      </c>
      <c r="G1667" s="331">
        <v>2</v>
      </c>
      <c r="H1667" s="385">
        <f>G1667*F1667</f>
        <v>24.68</v>
      </c>
    </row>
    <row r="1668" spans="2:8" s="69" customFormat="1" ht="19.5" customHeight="1" x14ac:dyDescent="0.25">
      <c r="B1668" s="389"/>
      <c r="C1668" s="278"/>
      <c r="D1668" s="61" t="s">
        <v>865</v>
      </c>
      <c r="E1668" s="340" t="s">
        <v>24</v>
      </c>
      <c r="F1668" s="331">
        <v>2</v>
      </c>
      <c r="G1668" s="338">
        <v>1.4</v>
      </c>
      <c r="H1668" s="385">
        <f>-G1668*F1668</f>
        <v>-2.8</v>
      </c>
    </row>
    <row r="1669" spans="2:8" s="69" customFormat="1" ht="19.5" customHeight="1" x14ac:dyDescent="0.25">
      <c r="B1669" s="389"/>
      <c r="C1669" s="278"/>
      <c r="D1669" s="61" t="s">
        <v>858</v>
      </c>
      <c r="E1669" s="340" t="s">
        <v>24</v>
      </c>
      <c r="F1669" s="331">
        <v>0.8</v>
      </c>
      <c r="G1669" s="331">
        <v>2.1</v>
      </c>
      <c r="H1669" s="385">
        <f>2*-F1669*G1669</f>
        <v>-3.3600000000000003</v>
      </c>
    </row>
    <row r="1670" spans="2:8" s="69" customFormat="1" ht="19.5" customHeight="1" x14ac:dyDescent="0.25">
      <c r="B1670" s="390"/>
      <c r="C1670" s="279"/>
      <c r="D1670" s="61" t="s">
        <v>864</v>
      </c>
      <c r="E1670" s="340" t="s">
        <v>24</v>
      </c>
      <c r="F1670" s="331">
        <v>1.3</v>
      </c>
      <c r="G1670" s="331">
        <v>1.4</v>
      </c>
      <c r="H1670" s="385">
        <f>2*-F1670*G1670</f>
        <v>-3.6399999999999997</v>
      </c>
    </row>
    <row r="1671" spans="2:8" s="69" customFormat="1" ht="19.5" customHeight="1" x14ac:dyDescent="0.25">
      <c r="B1671" s="388"/>
      <c r="C1671" s="277"/>
      <c r="D1671" s="61" t="s">
        <v>867</v>
      </c>
      <c r="E1671" s="340" t="s">
        <v>24</v>
      </c>
      <c r="F1671" s="331">
        <f>2.98+2.98+3.2+3.2</f>
        <v>12.36</v>
      </c>
      <c r="G1671" s="331">
        <v>2</v>
      </c>
      <c r="H1671" s="385">
        <f>G1671*F1671</f>
        <v>24.72</v>
      </c>
    </row>
    <row r="1672" spans="2:8" s="69" customFormat="1" ht="19.5" customHeight="1" x14ac:dyDescent="0.25">
      <c r="B1672" s="389"/>
      <c r="C1672" s="278"/>
      <c r="D1672" s="61" t="s">
        <v>865</v>
      </c>
      <c r="E1672" s="340" t="s">
        <v>24</v>
      </c>
      <c r="F1672" s="331">
        <v>2</v>
      </c>
      <c r="G1672" s="338">
        <v>1.4</v>
      </c>
      <c r="H1672" s="385">
        <f>-G1672*F1672</f>
        <v>-2.8</v>
      </c>
    </row>
    <row r="1673" spans="2:8" s="69" customFormat="1" ht="19.5" customHeight="1" x14ac:dyDescent="0.25">
      <c r="B1673" s="389"/>
      <c r="C1673" s="278"/>
      <c r="D1673" s="61" t="s">
        <v>858</v>
      </c>
      <c r="E1673" s="340" t="s">
        <v>24</v>
      </c>
      <c r="F1673" s="331">
        <v>0.8</v>
      </c>
      <c r="G1673" s="331">
        <v>2.1</v>
      </c>
      <c r="H1673" s="385">
        <f>2*-F1673*G1673</f>
        <v>-3.3600000000000003</v>
      </c>
    </row>
    <row r="1674" spans="2:8" s="69" customFormat="1" ht="19.5" customHeight="1" x14ac:dyDescent="0.25">
      <c r="B1674" s="389"/>
      <c r="C1674" s="278"/>
      <c r="D1674" s="61" t="s">
        <v>806</v>
      </c>
      <c r="E1674" s="340" t="s">
        <v>24</v>
      </c>
      <c r="F1674" s="331">
        <v>1.8</v>
      </c>
      <c r="G1674" s="331">
        <v>1.4</v>
      </c>
      <c r="H1674" s="385">
        <f>2*-F1674*G1674</f>
        <v>-5.04</v>
      </c>
    </row>
    <row r="1675" spans="2:8" s="69" customFormat="1" ht="19.5" customHeight="1" x14ac:dyDescent="0.25">
      <c r="B1675" s="389"/>
      <c r="C1675" s="278"/>
      <c r="D1675" s="61" t="s">
        <v>872</v>
      </c>
      <c r="E1675" s="340" t="s">
        <v>24</v>
      </c>
      <c r="F1675" s="331">
        <f>8+8+6.05+6.05</f>
        <v>28.1</v>
      </c>
      <c r="G1675" s="331">
        <v>3</v>
      </c>
      <c r="H1675" s="385">
        <f>G1675*F1675</f>
        <v>84.300000000000011</v>
      </c>
    </row>
    <row r="1676" spans="2:8" s="69" customFormat="1" ht="19.5" customHeight="1" x14ac:dyDescent="0.25">
      <c r="B1676" s="389"/>
      <c r="C1676" s="278"/>
      <c r="D1676" s="61" t="s">
        <v>773</v>
      </c>
      <c r="E1676" s="340" t="s">
        <v>24</v>
      </c>
      <c r="F1676" s="331">
        <v>1</v>
      </c>
      <c r="G1676" s="338">
        <v>2.1</v>
      </c>
      <c r="H1676" s="385">
        <f>-G1676*F1676*1</f>
        <v>-2.1</v>
      </c>
    </row>
    <row r="1677" spans="2:8" s="69" customFormat="1" ht="19.5" customHeight="1" x14ac:dyDescent="0.25">
      <c r="B1677" s="389"/>
      <c r="C1677" s="278"/>
      <c r="D1677" s="61" t="s">
        <v>816</v>
      </c>
      <c r="E1677" s="340" t="s">
        <v>24</v>
      </c>
      <c r="F1677" s="331">
        <v>2.5</v>
      </c>
      <c r="G1677" s="338">
        <v>1.4</v>
      </c>
      <c r="H1677" s="385">
        <f>-4*G1677*F1677</f>
        <v>-14</v>
      </c>
    </row>
    <row r="1678" spans="2:8" s="69" customFormat="1" ht="19.5" customHeight="1" x14ac:dyDescent="0.25">
      <c r="B1678" s="389"/>
      <c r="C1678" s="278"/>
      <c r="D1678" s="61" t="s">
        <v>873</v>
      </c>
      <c r="E1678" s="340" t="s">
        <v>24</v>
      </c>
      <c r="F1678" s="331">
        <f>8+6+6+8</f>
        <v>28</v>
      </c>
      <c r="G1678" s="331">
        <v>3</v>
      </c>
      <c r="H1678" s="385">
        <f>G1678*F1678</f>
        <v>84</v>
      </c>
    </row>
    <row r="1679" spans="2:8" s="69" customFormat="1" ht="19.5" customHeight="1" x14ac:dyDescent="0.25">
      <c r="B1679" s="389"/>
      <c r="C1679" s="278"/>
      <c r="D1679" s="61" t="s">
        <v>874</v>
      </c>
      <c r="E1679" s="340" t="s">
        <v>24</v>
      </c>
      <c r="F1679" s="331">
        <v>0.8</v>
      </c>
      <c r="G1679" s="338">
        <v>2.1</v>
      </c>
      <c r="H1679" s="385">
        <f>-G1679*F1679*1</f>
        <v>-1.6800000000000002</v>
      </c>
    </row>
    <row r="1680" spans="2:8" s="69" customFormat="1" ht="19.5" customHeight="1" x14ac:dyDescent="0.25">
      <c r="B1680" s="389"/>
      <c r="C1680" s="278"/>
      <c r="D1680" s="61" t="s">
        <v>816</v>
      </c>
      <c r="E1680" s="340" t="s">
        <v>24</v>
      </c>
      <c r="F1680" s="331">
        <v>2.5</v>
      </c>
      <c r="G1680" s="338">
        <v>1.4</v>
      </c>
      <c r="H1680" s="385">
        <f>-4*G1680*F1680</f>
        <v>-14</v>
      </c>
    </row>
    <row r="1681" spans="2:8" s="69" customFormat="1" ht="19.5" customHeight="1" x14ac:dyDescent="0.25">
      <c r="B1681" s="389"/>
      <c r="C1681" s="278"/>
      <c r="D1681" s="61" t="s">
        <v>875</v>
      </c>
      <c r="E1681" s="340" t="s">
        <v>24</v>
      </c>
      <c r="F1681" s="252">
        <f>0.1+8+0.15+0.15+6.05+0.15+8+0.15+0.1</f>
        <v>22.85</v>
      </c>
      <c r="G1681" s="331">
        <v>3</v>
      </c>
      <c r="H1681" s="385">
        <f>G1681*F1684</f>
        <v>68.474999999999994</v>
      </c>
    </row>
    <row r="1682" spans="2:8" s="69" customFormat="1" ht="19.5" customHeight="1" x14ac:dyDescent="0.25">
      <c r="B1682" s="389"/>
      <c r="C1682" s="278"/>
      <c r="D1682" s="61" t="s">
        <v>773</v>
      </c>
      <c r="E1682" s="340" t="s">
        <v>24</v>
      </c>
      <c r="F1682" s="331">
        <v>1</v>
      </c>
      <c r="G1682" s="338">
        <v>2.1</v>
      </c>
      <c r="H1682" s="385">
        <f>-G1682*F1682*1</f>
        <v>-2.1</v>
      </c>
    </row>
    <row r="1683" spans="2:8" s="69" customFormat="1" ht="19.5" customHeight="1" x14ac:dyDescent="0.25">
      <c r="B1683" s="389"/>
      <c r="C1683" s="278"/>
      <c r="D1683" s="61" t="s">
        <v>816</v>
      </c>
      <c r="E1683" s="340" t="s">
        <v>24</v>
      </c>
      <c r="F1683" s="331">
        <v>2.5</v>
      </c>
      <c r="G1683" s="338">
        <v>1.4</v>
      </c>
      <c r="H1683" s="385">
        <f>-4*G1683*F1683</f>
        <v>-14</v>
      </c>
    </row>
    <row r="1684" spans="2:8" s="69" customFormat="1" ht="19.5" customHeight="1" x14ac:dyDescent="0.25">
      <c r="B1684" s="389"/>
      <c r="C1684" s="278"/>
      <c r="D1684" s="61" t="s">
        <v>876</v>
      </c>
      <c r="E1684" s="340" t="s">
        <v>24</v>
      </c>
      <c r="F1684" s="331">
        <f>6+8+8+0.1+0.15+0.15+0.2+0.15+0.075</f>
        <v>22.824999999999996</v>
      </c>
      <c r="G1684" s="331">
        <v>3</v>
      </c>
      <c r="H1684" s="385">
        <f>G1684*F1684</f>
        <v>68.474999999999994</v>
      </c>
    </row>
    <row r="1685" spans="2:8" s="69" customFormat="1" ht="19.5" customHeight="1" x14ac:dyDescent="0.25">
      <c r="B1685" s="389"/>
      <c r="C1685" s="278"/>
      <c r="D1685" s="61" t="s">
        <v>874</v>
      </c>
      <c r="E1685" s="340" t="s">
        <v>24</v>
      </c>
      <c r="F1685" s="331">
        <v>0.8</v>
      </c>
      <c r="G1685" s="338">
        <v>2.1</v>
      </c>
      <c r="H1685" s="385">
        <f>-G1685*F1685*1</f>
        <v>-1.6800000000000002</v>
      </c>
    </row>
    <row r="1686" spans="2:8" s="69" customFormat="1" ht="19.5" customHeight="1" x14ac:dyDescent="0.25">
      <c r="B1686" s="389"/>
      <c r="C1686" s="278"/>
      <c r="D1686" s="61" t="s">
        <v>816</v>
      </c>
      <c r="E1686" s="340" t="s">
        <v>24</v>
      </c>
      <c r="F1686" s="331">
        <v>2.5</v>
      </c>
      <c r="G1686" s="338">
        <v>1.4</v>
      </c>
      <c r="H1686" s="385">
        <f>-4*G1686*F1686</f>
        <v>-14</v>
      </c>
    </row>
    <row r="1687" spans="2:8" s="69" customFormat="1" ht="19.5" customHeight="1" x14ac:dyDescent="0.25">
      <c r="B1687" s="389"/>
      <c r="C1687" s="278"/>
      <c r="D1687" s="61" t="s">
        <v>877</v>
      </c>
      <c r="E1687" s="340" t="s">
        <v>24</v>
      </c>
      <c r="F1687" s="331">
        <f>1.25+0.15+6.15+0.2+0.15+4+0.15+3.805+2.9+0.15+2.9</f>
        <v>21.805</v>
      </c>
      <c r="G1687" s="331">
        <v>3</v>
      </c>
      <c r="H1687" s="385">
        <f>G1687*F1687</f>
        <v>65.414999999999992</v>
      </c>
    </row>
    <row r="1688" spans="2:8" s="69" customFormat="1" ht="19.5" customHeight="1" x14ac:dyDescent="0.25">
      <c r="B1688" s="389"/>
      <c r="C1688" s="278"/>
      <c r="D1688" s="61" t="s">
        <v>878</v>
      </c>
      <c r="E1688" s="340" t="s">
        <v>24</v>
      </c>
      <c r="F1688" s="338">
        <v>3</v>
      </c>
      <c r="G1688" s="338">
        <v>0.75</v>
      </c>
      <c r="H1688" s="385">
        <f>-2*G1688*F1688</f>
        <v>-4.5</v>
      </c>
    </row>
    <row r="1689" spans="2:8" s="69" customFormat="1" ht="19.5" customHeight="1" x14ac:dyDescent="0.25">
      <c r="B1689" s="389"/>
      <c r="C1689" s="278"/>
      <c r="D1689" s="87" t="s">
        <v>928</v>
      </c>
      <c r="E1689" s="340" t="s">
        <v>24</v>
      </c>
      <c r="F1689" s="66">
        <v>24.4</v>
      </c>
      <c r="G1689" s="66">
        <v>3.1</v>
      </c>
      <c r="H1689" s="407">
        <v>75.64</v>
      </c>
    </row>
    <row r="1690" spans="2:8" s="69" customFormat="1" ht="19.5" customHeight="1" x14ac:dyDescent="0.2">
      <c r="B1690" s="389"/>
      <c r="C1690" s="278"/>
      <c r="D1690" s="164" t="s">
        <v>929</v>
      </c>
      <c r="E1690" s="340" t="s">
        <v>24</v>
      </c>
      <c r="F1690" s="66">
        <v>2.5</v>
      </c>
      <c r="G1690" s="66">
        <v>1.4</v>
      </c>
      <c r="H1690" s="407">
        <v>-14</v>
      </c>
    </row>
    <row r="1691" spans="2:8" s="69" customFormat="1" ht="19.5" customHeight="1" x14ac:dyDescent="0.2">
      <c r="B1691" s="389"/>
      <c r="C1691" s="278"/>
      <c r="D1691" s="164" t="s">
        <v>930</v>
      </c>
      <c r="E1691" s="340" t="s">
        <v>24</v>
      </c>
      <c r="F1691" s="66">
        <v>0.8</v>
      </c>
      <c r="G1691" s="66">
        <v>2.1</v>
      </c>
      <c r="H1691" s="407">
        <v>-1.6800000000000002</v>
      </c>
    </row>
    <row r="1692" spans="2:8" s="69" customFormat="1" ht="19.5" customHeight="1" x14ac:dyDescent="0.2">
      <c r="B1692" s="389"/>
      <c r="C1692" s="278"/>
      <c r="D1692" s="164" t="s">
        <v>436</v>
      </c>
      <c r="E1692" s="340" t="s">
        <v>24</v>
      </c>
      <c r="F1692" s="66">
        <v>11</v>
      </c>
      <c r="G1692" s="66">
        <v>3.1</v>
      </c>
      <c r="H1692" s="407">
        <v>34.1</v>
      </c>
    </row>
    <row r="1693" spans="2:8" s="69" customFormat="1" ht="19.5" customHeight="1" x14ac:dyDescent="0.2">
      <c r="B1693" s="389"/>
      <c r="C1693" s="278"/>
      <c r="D1693" s="164" t="s">
        <v>931</v>
      </c>
      <c r="E1693" s="340" t="s">
        <v>24</v>
      </c>
      <c r="F1693" s="66">
        <v>1.9</v>
      </c>
      <c r="G1693" s="66">
        <v>0.75</v>
      </c>
      <c r="H1693" s="407">
        <v>-1.4249999999999998</v>
      </c>
    </row>
    <row r="1694" spans="2:8" s="69" customFormat="1" ht="19.5" customHeight="1" x14ac:dyDescent="0.2">
      <c r="B1694" s="389"/>
      <c r="C1694" s="278"/>
      <c r="D1694" s="164" t="s">
        <v>930</v>
      </c>
      <c r="E1694" s="340" t="s">
        <v>24</v>
      </c>
      <c r="F1694" s="66">
        <v>0.8</v>
      </c>
      <c r="G1694" s="66">
        <v>2.1</v>
      </c>
      <c r="H1694" s="407">
        <v>-1.6800000000000002</v>
      </c>
    </row>
    <row r="1695" spans="2:8" s="69" customFormat="1" ht="19.5" customHeight="1" x14ac:dyDescent="0.2">
      <c r="B1695" s="389"/>
      <c r="C1695" s="278"/>
      <c r="D1695" s="164" t="s">
        <v>437</v>
      </c>
      <c r="E1695" s="340" t="s">
        <v>24</v>
      </c>
      <c r="F1695" s="66">
        <v>12.7</v>
      </c>
      <c r="G1695" s="66">
        <v>3.1</v>
      </c>
      <c r="H1695" s="407">
        <v>39.369999999999997</v>
      </c>
    </row>
    <row r="1696" spans="2:8" s="69" customFormat="1" ht="19.5" customHeight="1" x14ac:dyDescent="0.2">
      <c r="B1696" s="389"/>
      <c r="C1696" s="278"/>
      <c r="D1696" s="164" t="s">
        <v>932</v>
      </c>
      <c r="E1696" s="340" t="s">
        <v>24</v>
      </c>
      <c r="F1696" s="66">
        <v>2.5</v>
      </c>
      <c r="G1696" s="66">
        <v>1.4</v>
      </c>
      <c r="H1696" s="407">
        <v>-3.5</v>
      </c>
    </row>
    <row r="1697" spans="2:8" s="69" customFormat="1" ht="19.5" customHeight="1" x14ac:dyDescent="0.2">
      <c r="B1697" s="389"/>
      <c r="C1697" s="278"/>
      <c r="D1697" s="164" t="s">
        <v>930</v>
      </c>
      <c r="E1697" s="340" t="s">
        <v>24</v>
      </c>
      <c r="F1697" s="66">
        <v>0.8</v>
      </c>
      <c r="G1697" s="66">
        <v>2.1</v>
      </c>
      <c r="H1697" s="407">
        <v>-1.6800000000000002</v>
      </c>
    </row>
    <row r="1698" spans="2:8" s="69" customFormat="1" ht="19.5" customHeight="1" x14ac:dyDescent="0.2">
      <c r="B1698" s="389"/>
      <c r="C1698" s="278"/>
      <c r="D1698" s="164" t="s">
        <v>933</v>
      </c>
      <c r="E1698" s="340" t="s">
        <v>24</v>
      </c>
      <c r="F1698" s="66">
        <v>9.9499999999999993</v>
      </c>
      <c r="G1698" s="66">
        <v>3.1</v>
      </c>
      <c r="H1698" s="407">
        <v>30.844999999999999</v>
      </c>
    </row>
    <row r="1699" spans="2:8" s="69" customFormat="1" ht="19.5" customHeight="1" x14ac:dyDescent="0.2">
      <c r="B1699" s="389"/>
      <c r="C1699" s="278"/>
      <c r="D1699" s="164" t="s">
        <v>934</v>
      </c>
      <c r="E1699" s="340" t="s">
        <v>24</v>
      </c>
      <c r="F1699" s="66">
        <v>0.8</v>
      </c>
      <c r="G1699" s="66">
        <v>2.1</v>
      </c>
      <c r="H1699" s="407">
        <v>-8.4</v>
      </c>
    </row>
    <row r="1700" spans="2:8" s="69" customFormat="1" ht="19.5" customHeight="1" x14ac:dyDescent="0.2">
      <c r="B1700" s="389"/>
      <c r="C1700" s="278"/>
      <c r="D1700" s="164" t="s">
        <v>935</v>
      </c>
      <c r="E1700" s="340" t="s">
        <v>24</v>
      </c>
      <c r="F1700" s="66">
        <v>12.100000000000001</v>
      </c>
      <c r="G1700" s="66">
        <v>3.1</v>
      </c>
      <c r="H1700" s="407">
        <v>37.510000000000005</v>
      </c>
    </row>
    <row r="1701" spans="2:8" s="69" customFormat="1" ht="19.5" customHeight="1" x14ac:dyDescent="0.2">
      <c r="B1701" s="389"/>
      <c r="C1701" s="278"/>
      <c r="D1701" s="164" t="s">
        <v>936</v>
      </c>
      <c r="E1701" s="340" t="s">
        <v>24</v>
      </c>
      <c r="F1701" s="66">
        <v>0.8</v>
      </c>
      <c r="G1701" s="66">
        <v>2.1</v>
      </c>
      <c r="H1701" s="407">
        <v>-3.3600000000000003</v>
      </c>
    </row>
    <row r="1702" spans="2:8" s="69" customFormat="1" ht="19.5" customHeight="1" x14ac:dyDescent="0.2">
      <c r="B1702" s="389"/>
      <c r="C1702" s="278"/>
      <c r="D1702" s="164" t="s">
        <v>937</v>
      </c>
      <c r="E1702" s="340" t="s">
        <v>24</v>
      </c>
      <c r="F1702" s="66">
        <v>1.6</v>
      </c>
      <c r="G1702" s="66">
        <v>2.1</v>
      </c>
      <c r="H1702" s="407">
        <v>-3.3600000000000003</v>
      </c>
    </row>
    <row r="1703" spans="2:8" s="69" customFormat="1" ht="19.5" customHeight="1" x14ac:dyDescent="0.2">
      <c r="B1703" s="389"/>
      <c r="C1703" s="278"/>
      <c r="D1703" s="164" t="s">
        <v>938</v>
      </c>
      <c r="E1703" s="340" t="s">
        <v>24</v>
      </c>
      <c r="F1703" s="66">
        <v>1.8</v>
      </c>
      <c r="G1703" s="66">
        <v>1</v>
      </c>
      <c r="H1703" s="407">
        <v>-1.8</v>
      </c>
    </row>
    <row r="1704" spans="2:8" s="69" customFormat="1" ht="19.5" customHeight="1" x14ac:dyDescent="0.2">
      <c r="B1704" s="389"/>
      <c r="C1704" s="278"/>
      <c r="D1704" s="164" t="s">
        <v>431</v>
      </c>
      <c r="E1704" s="340" t="s">
        <v>24</v>
      </c>
      <c r="F1704" s="66">
        <v>19.200000000000003</v>
      </c>
      <c r="G1704" s="66">
        <v>3.1</v>
      </c>
      <c r="H1704" s="407">
        <v>59.52000000000001</v>
      </c>
    </row>
    <row r="1705" spans="2:8" s="69" customFormat="1" ht="19.5" customHeight="1" x14ac:dyDescent="0.2">
      <c r="B1705" s="389"/>
      <c r="C1705" s="278"/>
      <c r="D1705" s="164" t="s">
        <v>932</v>
      </c>
      <c r="E1705" s="340" t="s">
        <v>24</v>
      </c>
      <c r="F1705" s="66">
        <v>2.5</v>
      </c>
      <c r="G1705" s="66">
        <v>1.4</v>
      </c>
      <c r="H1705" s="407">
        <v>-3.5</v>
      </c>
    </row>
    <row r="1706" spans="2:8" s="69" customFormat="1" ht="19.5" customHeight="1" x14ac:dyDescent="0.2">
      <c r="B1706" s="389"/>
      <c r="C1706" s="278"/>
      <c r="D1706" s="164" t="s">
        <v>936</v>
      </c>
      <c r="E1706" s="340" t="s">
        <v>24</v>
      </c>
      <c r="F1706" s="66">
        <v>0.8</v>
      </c>
      <c r="G1706" s="66">
        <v>2.1</v>
      </c>
      <c r="H1706" s="407">
        <v>-3.3600000000000003</v>
      </c>
    </row>
    <row r="1707" spans="2:8" s="69" customFormat="1" ht="19.5" customHeight="1" x14ac:dyDescent="0.2">
      <c r="B1707" s="389"/>
      <c r="C1707" s="278"/>
      <c r="D1707" s="164" t="s">
        <v>440</v>
      </c>
      <c r="E1707" s="340" t="s">
        <v>24</v>
      </c>
      <c r="F1707" s="66">
        <v>25.400000000000002</v>
      </c>
      <c r="G1707" s="66">
        <v>2.1</v>
      </c>
      <c r="H1707" s="407">
        <v>53.34</v>
      </c>
    </row>
    <row r="1708" spans="2:8" s="69" customFormat="1" ht="19.5" customHeight="1" x14ac:dyDescent="0.2">
      <c r="B1708" s="389"/>
      <c r="C1708" s="278"/>
      <c r="D1708" s="164" t="s">
        <v>939</v>
      </c>
      <c r="E1708" s="340" t="s">
        <v>24</v>
      </c>
      <c r="F1708" s="66">
        <v>1.8</v>
      </c>
      <c r="G1708" s="66">
        <v>1.4</v>
      </c>
      <c r="H1708" s="407">
        <v>-5.04</v>
      </c>
    </row>
    <row r="1709" spans="2:8" s="69" customFormat="1" ht="19.5" customHeight="1" x14ac:dyDescent="0.2">
      <c r="B1709" s="389"/>
      <c r="C1709" s="278"/>
      <c r="D1709" s="164" t="s">
        <v>936</v>
      </c>
      <c r="E1709" s="340" t="s">
        <v>24</v>
      </c>
      <c r="F1709" s="66">
        <v>0.8</v>
      </c>
      <c r="G1709" s="66">
        <v>1.1000000000000001</v>
      </c>
      <c r="H1709" s="407">
        <v>1.7600000000000002</v>
      </c>
    </row>
    <row r="1710" spans="2:8" s="69" customFormat="1" ht="19.5" customHeight="1" x14ac:dyDescent="0.2">
      <c r="B1710" s="389"/>
      <c r="C1710" s="278"/>
      <c r="D1710" s="164" t="s">
        <v>761</v>
      </c>
      <c r="E1710" s="340" t="s">
        <v>24</v>
      </c>
      <c r="F1710" s="66">
        <v>20.7</v>
      </c>
      <c r="G1710" s="66">
        <v>1.6</v>
      </c>
      <c r="H1710" s="407">
        <v>33.119999999999997</v>
      </c>
    </row>
    <row r="1711" spans="2:8" s="69" customFormat="1" ht="19.5" customHeight="1" x14ac:dyDescent="0.2">
      <c r="B1711" s="389"/>
      <c r="C1711" s="278"/>
      <c r="D1711" s="164" t="s">
        <v>931</v>
      </c>
      <c r="E1711" s="340" t="s">
        <v>24</v>
      </c>
      <c r="F1711" s="66">
        <v>1.9</v>
      </c>
      <c r="G1711" s="66">
        <v>0.75</v>
      </c>
      <c r="H1711" s="407">
        <v>-1.4249999999999998</v>
      </c>
    </row>
    <row r="1712" spans="2:8" s="69" customFormat="1" ht="19.5" customHeight="1" x14ac:dyDescent="0.2">
      <c r="B1712" s="389"/>
      <c r="C1712" s="278"/>
      <c r="D1712" s="164" t="s">
        <v>936</v>
      </c>
      <c r="E1712" s="340" t="s">
        <v>24</v>
      </c>
      <c r="F1712" s="66">
        <v>0.8</v>
      </c>
      <c r="G1712" s="66">
        <v>0.6</v>
      </c>
      <c r="H1712" s="407">
        <v>-0.96</v>
      </c>
    </row>
    <row r="1713" spans="2:8" s="69" customFormat="1" ht="19.5" customHeight="1" x14ac:dyDescent="0.2">
      <c r="B1713" s="389"/>
      <c r="C1713" s="278"/>
      <c r="D1713" s="164" t="s">
        <v>441</v>
      </c>
      <c r="E1713" s="340" t="s">
        <v>24</v>
      </c>
      <c r="F1713" s="66">
        <v>25.400000000000002</v>
      </c>
      <c r="G1713" s="66">
        <v>2.1</v>
      </c>
      <c r="H1713" s="407">
        <v>53.34</v>
      </c>
    </row>
    <row r="1714" spans="2:8" s="69" customFormat="1" ht="19.5" customHeight="1" x14ac:dyDescent="0.2">
      <c r="B1714" s="389"/>
      <c r="C1714" s="278"/>
      <c r="D1714" s="164" t="s">
        <v>939</v>
      </c>
      <c r="E1714" s="340" t="s">
        <v>24</v>
      </c>
      <c r="F1714" s="66">
        <v>1.8</v>
      </c>
      <c r="G1714" s="66">
        <v>1.4</v>
      </c>
      <c r="H1714" s="407">
        <v>-5.04</v>
      </c>
    </row>
    <row r="1715" spans="2:8" s="69" customFormat="1" ht="19.5" customHeight="1" x14ac:dyDescent="0.2">
      <c r="B1715" s="390"/>
      <c r="C1715" s="279"/>
      <c r="D1715" s="164" t="s">
        <v>936</v>
      </c>
      <c r="E1715" s="340" t="s">
        <v>24</v>
      </c>
      <c r="F1715" s="66">
        <v>0.8</v>
      </c>
      <c r="G1715" s="66">
        <v>1.1000000000000001</v>
      </c>
      <c r="H1715" s="407">
        <v>1.7600000000000002</v>
      </c>
    </row>
    <row r="1716" spans="2:8" s="69" customFormat="1" ht="19.5" customHeight="1" x14ac:dyDescent="0.2">
      <c r="B1716" s="388"/>
      <c r="C1716" s="277"/>
      <c r="D1716" s="164" t="s">
        <v>940</v>
      </c>
      <c r="E1716" s="340" t="s">
        <v>24</v>
      </c>
      <c r="F1716" s="66">
        <v>78.760000000000005</v>
      </c>
      <c r="G1716" s="66">
        <v>3.1</v>
      </c>
      <c r="H1716" s="407">
        <v>244.15600000000003</v>
      </c>
    </row>
    <row r="1717" spans="2:8" s="69" customFormat="1" ht="19.5" customHeight="1" x14ac:dyDescent="0.2">
      <c r="B1717" s="389"/>
      <c r="C1717" s="278"/>
      <c r="D1717" s="164" t="s">
        <v>941</v>
      </c>
      <c r="E1717" s="340" t="s">
        <v>24</v>
      </c>
      <c r="F1717" s="66">
        <v>2.5</v>
      </c>
      <c r="G1717" s="66">
        <v>1.4</v>
      </c>
      <c r="H1717" s="407">
        <v>-21</v>
      </c>
    </row>
    <row r="1718" spans="2:8" s="69" customFormat="1" ht="19.5" customHeight="1" x14ac:dyDescent="0.2">
      <c r="B1718" s="389"/>
      <c r="C1718" s="278"/>
      <c r="D1718" s="164" t="s">
        <v>942</v>
      </c>
      <c r="E1718" s="340" t="s">
        <v>24</v>
      </c>
      <c r="F1718" s="66">
        <v>1.9</v>
      </c>
      <c r="G1718" s="66">
        <v>0.75</v>
      </c>
      <c r="H1718" s="407">
        <v>-2.8499999999999996</v>
      </c>
    </row>
    <row r="1719" spans="2:8" s="69" customFormat="1" ht="19.5" customHeight="1" x14ac:dyDescent="0.2">
      <c r="B1719" s="389"/>
      <c r="C1719" s="278"/>
      <c r="D1719" s="164" t="s">
        <v>943</v>
      </c>
      <c r="E1719" s="340" t="s">
        <v>24</v>
      </c>
      <c r="F1719" s="66">
        <v>1.8</v>
      </c>
      <c r="G1719" s="66">
        <v>1.4</v>
      </c>
      <c r="H1719" s="407">
        <v>-10.08</v>
      </c>
    </row>
    <row r="1720" spans="2:8" s="69" customFormat="1" ht="19.5" customHeight="1" x14ac:dyDescent="0.2">
      <c r="B1720" s="389"/>
      <c r="C1720" s="278"/>
      <c r="D1720" s="164" t="s">
        <v>944</v>
      </c>
      <c r="E1720" s="340" t="s">
        <v>24</v>
      </c>
      <c r="F1720" s="66">
        <v>1.2</v>
      </c>
      <c r="G1720" s="66">
        <v>0.75</v>
      </c>
      <c r="H1720" s="407">
        <v>-1.7999999999999998</v>
      </c>
    </row>
    <row r="1721" spans="2:8" s="69" customFormat="1" ht="19.5" customHeight="1" x14ac:dyDescent="0.2">
      <c r="B1721" s="389"/>
      <c r="C1721" s="278"/>
      <c r="D1721" s="164" t="s">
        <v>945</v>
      </c>
      <c r="E1721" s="340" t="s">
        <v>24</v>
      </c>
      <c r="F1721" s="340">
        <v>0.6</v>
      </c>
      <c r="G1721" s="340">
        <v>0.75</v>
      </c>
      <c r="H1721" s="407">
        <v>-0.89999999999999991</v>
      </c>
    </row>
    <row r="1722" spans="2:8" s="69" customFormat="1" ht="19.5" customHeight="1" x14ac:dyDescent="0.2">
      <c r="B1722" s="389"/>
      <c r="C1722" s="278"/>
      <c r="D1722" s="164" t="s">
        <v>936</v>
      </c>
      <c r="E1722" s="340" t="s">
        <v>24</v>
      </c>
      <c r="F1722" s="66">
        <v>0.8</v>
      </c>
      <c r="G1722" s="66">
        <v>2.1</v>
      </c>
      <c r="H1722" s="407">
        <v>-3.3600000000000003</v>
      </c>
    </row>
    <row r="1723" spans="2:8" s="69" customFormat="1" ht="19.5" customHeight="1" x14ac:dyDescent="0.2">
      <c r="B1723" s="389"/>
      <c r="C1723" s="278"/>
      <c r="D1723" s="164" t="s">
        <v>937</v>
      </c>
      <c r="E1723" s="340" t="s">
        <v>24</v>
      </c>
      <c r="F1723" s="66">
        <v>1.6</v>
      </c>
      <c r="G1723" s="66">
        <v>2.1</v>
      </c>
      <c r="H1723" s="407">
        <v>-3.3600000000000003</v>
      </c>
    </row>
    <row r="1724" spans="2:8" s="69" customFormat="1" ht="19.5" customHeight="1" x14ac:dyDescent="0.25">
      <c r="B1724" s="428"/>
      <c r="C1724" s="321"/>
      <c r="D1724" s="64" t="s">
        <v>1042</v>
      </c>
      <c r="E1724" s="340" t="s">
        <v>24</v>
      </c>
      <c r="F1724" s="340">
        <v>78.760000000000005</v>
      </c>
      <c r="G1724" s="66">
        <v>1.5</v>
      </c>
      <c r="H1724" s="407">
        <f>F1724*G1724</f>
        <v>118.14000000000001</v>
      </c>
    </row>
    <row r="1725" spans="2:8" s="69" customFormat="1" ht="19.5" customHeight="1" x14ac:dyDescent="0.25">
      <c r="B1725" s="428"/>
      <c r="C1725" s="321"/>
      <c r="D1725" s="64" t="s">
        <v>1043</v>
      </c>
      <c r="E1725" s="340" t="s">
        <v>24</v>
      </c>
      <c r="F1725" s="340">
        <f>3.98*2+6.65+6.9*2+6.35+10*2</f>
        <v>54.76</v>
      </c>
      <c r="G1725" s="66">
        <v>1.5</v>
      </c>
      <c r="H1725" s="407">
        <f>F1725*G1725</f>
        <v>82.14</v>
      </c>
    </row>
    <row r="1726" spans="2:8" s="69" customFormat="1" ht="19.5" customHeight="1" x14ac:dyDescent="0.25">
      <c r="B1726" s="428"/>
      <c r="C1726" s="321"/>
      <c r="D1726" s="157" t="s">
        <v>1044</v>
      </c>
      <c r="E1726" s="158" t="s">
        <v>24</v>
      </c>
      <c r="F1726" s="159" t="s">
        <v>26</v>
      </c>
      <c r="G1726" s="159" t="s">
        <v>27</v>
      </c>
      <c r="H1726" s="397">
        <f>SUM(H1727:H1748)</f>
        <v>311.49639999999999</v>
      </c>
    </row>
    <row r="1727" spans="2:8" s="69" customFormat="1" ht="19.5" customHeight="1" x14ac:dyDescent="0.25">
      <c r="B1727" s="428"/>
      <c r="C1727" s="321"/>
      <c r="D1727" s="64" t="s">
        <v>1045</v>
      </c>
      <c r="E1727" s="340" t="s">
        <v>24</v>
      </c>
      <c r="F1727" s="340">
        <f>0.15+7.59+0.18</f>
        <v>7.92</v>
      </c>
      <c r="G1727" s="66">
        <v>1.5</v>
      </c>
      <c r="H1727" s="407">
        <f>F1727*G1727</f>
        <v>11.879999999999999</v>
      </c>
    </row>
    <row r="1728" spans="2:8" s="69" customFormat="1" ht="19.5" customHeight="1" x14ac:dyDescent="0.25">
      <c r="B1728" s="428"/>
      <c r="C1728" s="321"/>
      <c r="D1728" s="64" t="s">
        <v>1046</v>
      </c>
      <c r="E1728" s="340" t="s">
        <v>24</v>
      </c>
      <c r="F1728" s="340">
        <f>8.4+0.18</f>
        <v>8.58</v>
      </c>
      <c r="G1728" s="66">
        <v>1.5</v>
      </c>
      <c r="H1728" s="407">
        <f t="shared" ref="H1728:H1748" si="103">F1728*G1728</f>
        <v>12.870000000000001</v>
      </c>
    </row>
    <row r="1729" spans="2:8" s="69" customFormat="1" ht="19.5" customHeight="1" x14ac:dyDescent="0.25">
      <c r="B1729" s="428"/>
      <c r="C1729" s="321"/>
      <c r="D1729" s="64" t="s">
        <v>1047</v>
      </c>
      <c r="E1729" s="340" t="s">
        <v>24</v>
      </c>
      <c r="F1729" s="340">
        <f>0.18+8.14</f>
        <v>8.32</v>
      </c>
      <c r="G1729" s="66">
        <v>1.5</v>
      </c>
      <c r="H1729" s="407">
        <f t="shared" si="103"/>
        <v>12.48</v>
      </c>
    </row>
    <row r="1730" spans="2:8" s="69" customFormat="1" ht="19.5" customHeight="1" x14ac:dyDescent="0.25">
      <c r="B1730" s="428"/>
      <c r="C1730" s="321"/>
      <c r="D1730" s="64" t="s">
        <v>1048</v>
      </c>
      <c r="E1730" s="340" t="s">
        <v>24</v>
      </c>
      <c r="F1730" s="340">
        <f>0.15+7.59+0.18</f>
        <v>7.92</v>
      </c>
      <c r="G1730" s="66">
        <v>1.72</v>
      </c>
      <c r="H1730" s="407">
        <f t="shared" si="103"/>
        <v>13.622399999999999</v>
      </c>
    </row>
    <row r="1731" spans="2:8" s="69" customFormat="1" ht="19.5" customHeight="1" x14ac:dyDescent="0.25">
      <c r="B1731" s="428"/>
      <c r="C1731" s="321"/>
      <c r="D1731" s="64" t="s">
        <v>1049</v>
      </c>
      <c r="E1731" s="340" t="s">
        <v>24</v>
      </c>
      <c r="F1731" s="340">
        <f>8.4+0.18</f>
        <v>8.58</v>
      </c>
      <c r="G1731" s="66">
        <v>1.72</v>
      </c>
      <c r="H1731" s="407">
        <f t="shared" si="103"/>
        <v>14.7576</v>
      </c>
    </row>
    <row r="1732" spans="2:8" s="69" customFormat="1" ht="19.5" customHeight="1" x14ac:dyDescent="0.25">
      <c r="B1732" s="428"/>
      <c r="C1732" s="321"/>
      <c r="D1732" s="64" t="s">
        <v>1050</v>
      </c>
      <c r="E1732" s="340" t="s">
        <v>24</v>
      </c>
      <c r="F1732" s="340">
        <f>0.18+8.14</f>
        <v>8.32</v>
      </c>
      <c r="G1732" s="66">
        <v>1.72</v>
      </c>
      <c r="H1732" s="407">
        <f t="shared" si="103"/>
        <v>14.3104</v>
      </c>
    </row>
    <row r="1733" spans="2:8" s="69" customFormat="1" ht="19.5" customHeight="1" x14ac:dyDescent="0.25">
      <c r="B1733" s="428"/>
      <c r="C1733" s="321"/>
      <c r="D1733" s="64" t="s">
        <v>1051</v>
      </c>
      <c r="E1733" s="340" t="s">
        <v>24</v>
      </c>
      <c r="F1733" s="340">
        <f>6.4+6.5</f>
        <v>12.9</v>
      </c>
      <c r="G1733" s="66">
        <v>1.72</v>
      </c>
      <c r="H1733" s="407">
        <f t="shared" si="103"/>
        <v>22.187999999999999</v>
      </c>
    </row>
    <row r="1734" spans="2:8" s="69" customFormat="1" ht="19.5" customHeight="1" x14ac:dyDescent="0.25">
      <c r="B1734" s="428"/>
      <c r="C1734" s="321"/>
      <c r="D1734" s="64" t="s">
        <v>441</v>
      </c>
      <c r="E1734" s="340" t="s">
        <v>24</v>
      </c>
      <c r="F1734" s="340">
        <v>5.64</v>
      </c>
      <c r="G1734" s="66">
        <v>7.05</v>
      </c>
      <c r="H1734" s="407">
        <f t="shared" si="103"/>
        <v>39.761999999999993</v>
      </c>
    </row>
    <row r="1735" spans="2:8" s="69" customFormat="1" ht="19.5" customHeight="1" x14ac:dyDescent="0.25">
      <c r="B1735" s="428"/>
      <c r="C1735" s="321"/>
      <c r="D1735" s="64" t="s">
        <v>1063</v>
      </c>
      <c r="E1735" s="340" t="s">
        <v>24</v>
      </c>
      <c r="F1735" s="340">
        <v>3.3</v>
      </c>
      <c r="G1735" s="66">
        <v>7.05</v>
      </c>
      <c r="H1735" s="407">
        <f t="shared" si="103"/>
        <v>23.264999999999997</v>
      </c>
    </row>
    <row r="1736" spans="2:8" s="69" customFormat="1" ht="19.5" customHeight="1" x14ac:dyDescent="0.25">
      <c r="B1736" s="428"/>
      <c r="C1736" s="321"/>
      <c r="D1736" s="64" t="s">
        <v>440</v>
      </c>
      <c r="E1736" s="340" t="s">
        <v>24</v>
      </c>
      <c r="F1736" s="340">
        <v>5.64</v>
      </c>
      <c r="G1736" s="66">
        <v>7.05</v>
      </c>
      <c r="H1736" s="407">
        <f t="shared" si="103"/>
        <v>39.761999999999993</v>
      </c>
    </row>
    <row r="1737" spans="2:8" s="69" customFormat="1" ht="19.5" customHeight="1" x14ac:dyDescent="0.25">
      <c r="B1737" s="428"/>
      <c r="C1737" s="321"/>
      <c r="D1737" s="64" t="s">
        <v>1064</v>
      </c>
      <c r="E1737" s="340" t="s">
        <v>24</v>
      </c>
      <c r="F1737" s="340">
        <v>1.3</v>
      </c>
      <c r="G1737" s="66">
        <v>1.35</v>
      </c>
      <c r="H1737" s="407">
        <f t="shared" si="103"/>
        <v>1.7550000000000001</v>
      </c>
    </row>
    <row r="1738" spans="2:8" s="69" customFormat="1" ht="19.5" customHeight="1" x14ac:dyDescent="0.25">
      <c r="B1738" s="428"/>
      <c r="C1738" s="321"/>
      <c r="D1738" s="64" t="s">
        <v>1065</v>
      </c>
      <c r="E1738" s="340" t="s">
        <v>24</v>
      </c>
      <c r="F1738" s="340">
        <v>1.3</v>
      </c>
      <c r="G1738" s="66">
        <v>1.35</v>
      </c>
      <c r="H1738" s="407">
        <f t="shared" si="103"/>
        <v>1.7550000000000001</v>
      </c>
    </row>
    <row r="1739" spans="2:8" s="69" customFormat="1" ht="19.5" customHeight="1" x14ac:dyDescent="0.25">
      <c r="B1739" s="428"/>
      <c r="C1739" s="321"/>
      <c r="D1739" s="64" t="s">
        <v>1066</v>
      </c>
      <c r="E1739" s="340" t="s">
        <v>24</v>
      </c>
      <c r="F1739" s="340">
        <v>5.55</v>
      </c>
      <c r="G1739" s="66">
        <v>2.75</v>
      </c>
      <c r="H1739" s="407">
        <f t="shared" si="103"/>
        <v>15.262499999999999</v>
      </c>
    </row>
    <row r="1740" spans="2:8" s="69" customFormat="1" ht="19.5" customHeight="1" x14ac:dyDescent="0.25">
      <c r="B1740" s="428"/>
      <c r="C1740" s="321"/>
      <c r="D1740" s="64" t="s">
        <v>1067</v>
      </c>
      <c r="E1740" s="340" t="s">
        <v>24</v>
      </c>
      <c r="F1740" s="340">
        <v>3.55</v>
      </c>
      <c r="G1740" s="66">
        <v>1.3</v>
      </c>
      <c r="H1740" s="407">
        <f t="shared" si="103"/>
        <v>4.6150000000000002</v>
      </c>
    </row>
    <row r="1741" spans="2:8" s="69" customFormat="1" ht="19.5" customHeight="1" x14ac:dyDescent="0.25">
      <c r="B1741" s="428"/>
      <c r="C1741" s="321"/>
      <c r="D1741" s="64" t="s">
        <v>433</v>
      </c>
      <c r="E1741" s="340" t="s">
        <v>24</v>
      </c>
      <c r="F1741" s="340">
        <v>3.45</v>
      </c>
      <c r="G1741" s="66">
        <v>3.45</v>
      </c>
      <c r="H1741" s="407">
        <f t="shared" si="103"/>
        <v>11.902500000000002</v>
      </c>
    </row>
    <row r="1742" spans="2:8" s="69" customFormat="1" ht="19.5" customHeight="1" x14ac:dyDescent="0.25">
      <c r="B1742" s="428"/>
      <c r="C1742" s="321"/>
      <c r="D1742" s="64" t="s">
        <v>935</v>
      </c>
      <c r="E1742" s="340" t="s">
        <v>24</v>
      </c>
      <c r="F1742" s="340">
        <v>3.45</v>
      </c>
      <c r="G1742" s="66">
        <v>3.45</v>
      </c>
      <c r="H1742" s="407">
        <f t="shared" si="103"/>
        <v>11.902500000000002</v>
      </c>
    </row>
    <row r="1743" spans="2:8" s="69" customFormat="1" ht="19.5" customHeight="1" x14ac:dyDescent="0.25">
      <c r="B1743" s="428"/>
      <c r="C1743" s="321"/>
      <c r="D1743" s="64" t="s">
        <v>1068</v>
      </c>
      <c r="E1743" s="340" t="s">
        <v>24</v>
      </c>
      <c r="F1743" s="340">
        <v>2</v>
      </c>
      <c r="G1743" s="66">
        <v>1.7</v>
      </c>
      <c r="H1743" s="407">
        <f t="shared" si="103"/>
        <v>3.4</v>
      </c>
    </row>
    <row r="1744" spans="2:8" s="69" customFormat="1" ht="19.5" customHeight="1" x14ac:dyDescent="0.25">
      <c r="B1744" s="428"/>
      <c r="C1744" s="321"/>
      <c r="D1744" s="64" t="s">
        <v>1069</v>
      </c>
      <c r="E1744" s="340" t="s">
        <v>24</v>
      </c>
      <c r="F1744" s="340">
        <v>2</v>
      </c>
      <c r="G1744" s="66">
        <v>1.7</v>
      </c>
      <c r="H1744" s="407">
        <f t="shared" si="103"/>
        <v>3.4</v>
      </c>
    </row>
    <row r="1745" spans="2:8" s="69" customFormat="1" ht="19.5" customHeight="1" x14ac:dyDescent="0.25">
      <c r="B1745" s="428"/>
      <c r="C1745" s="321"/>
      <c r="D1745" s="64" t="s">
        <v>933</v>
      </c>
      <c r="E1745" s="340" t="s">
        <v>24</v>
      </c>
      <c r="F1745" s="340">
        <v>1.6</v>
      </c>
      <c r="G1745" s="66">
        <v>4.4000000000000004</v>
      </c>
      <c r="H1745" s="407">
        <f t="shared" si="103"/>
        <v>7.0400000000000009</v>
      </c>
    </row>
    <row r="1746" spans="2:8" s="69" customFormat="1" ht="19.5" customHeight="1" x14ac:dyDescent="0.25">
      <c r="B1746" s="428"/>
      <c r="C1746" s="321"/>
      <c r="D1746" s="64" t="s">
        <v>437</v>
      </c>
      <c r="E1746" s="340" t="s">
        <v>24</v>
      </c>
      <c r="F1746" s="340">
        <v>3.6</v>
      </c>
      <c r="G1746" s="66">
        <v>2.75</v>
      </c>
      <c r="H1746" s="407">
        <f t="shared" si="103"/>
        <v>9.9</v>
      </c>
    </row>
    <row r="1747" spans="2:8" s="69" customFormat="1" ht="19.5" customHeight="1" x14ac:dyDescent="0.25">
      <c r="B1747" s="428"/>
      <c r="C1747" s="321"/>
      <c r="D1747" s="64" t="s">
        <v>436</v>
      </c>
      <c r="E1747" s="340" t="s">
        <v>24</v>
      </c>
      <c r="F1747" s="340">
        <v>2.2000000000000002</v>
      </c>
      <c r="G1747" s="66">
        <v>2.8</v>
      </c>
      <c r="H1747" s="407">
        <f t="shared" si="103"/>
        <v>6.16</v>
      </c>
    </row>
    <row r="1748" spans="2:8" s="69" customFormat="1" ht="19.5" customHeight="1" x14ac:dyDescent="0.25">
      <c r="B1748" s="428"/>
      <c r="C1748" s="321"/>
      <c r="D1748" s="64" t="s">
        <v>397</v>
      </c>
      <c r="E1748" s="340" t="s">
        <v>24</v>
      </c>
      <c r="F1748" s="340">
        <v>7.11</v>
      </c>
      <c r="G1748" s="66">
        <v>4.1500000000000004</v>
      </c>
      <c r="H1748" s="407">
        <f t="shared" si="103"/>
        <v>29.506500000000003</v>
      </c>
    </row>
    <row r="1749" spans="2:8" s="69" customFormat="1" ht="19.5" customHeight="1" x14ac:dyDescent="0.25">
      <c r="B1749" s="428"/>
      <c r="C1749" s="321"/>
      <c r="D1749" s="157" t="s">
        <v>973</v>
      </c>
      <c r="E1749" s="158" t="s">
        <v>24</v>
      </c>
      <c r="F1749" s="159" t="s">
        <v>26</v>
      </c>
      <c r="G1749" s="159" t="s">
        <v>31</v>
      </c>
      <c r="H1749" s="397">
        <f>SUM(H1750:H1753)</f>
        <v>919.5</v>
      </c>
    </row>
    <row r="1750" spans="2:8" s="69" customFormat="1" ht="19.5" customHeight="1" x14ac:dyDescent="0.25">
      <c r="B1750" s="428"/>
      <c r="C1750" s="321"/>
      <c r="D1750" s="83" t="s">
        <v>970</v>
      </c>
      <c r="E1750" s="67" t="s">
        <v>24</v>
      </c>
      <c r="F1750" s="331">
        <v>51.7</v>
      </c>
      <c r="G1750" s="331">
        <v>3</v>
      </c>
      <c r="H1750" s="402">
        <f>F1750*G1750*2</f>
        <v>310.20000000000005</v>
      </c>
    </row>
    <row r="1751" spans="2:8" s="69" customFormat="1" ht="19.5" customHeight="1" x14ac:dyDescent="0.25">
      <c r="B1751" s="428"/>
      <c r="C1751" s="321"/>
      <c r="D1751" s="83" t="s">
        <v>972</v>
      </c>
      <c r="E1751" s="67" t="s">
        <v>24</v>
      </c>
      <c r="F1751" s="331">
        <v>49.85</v>
      </c>
      <c r="G1751" s="331">
        <v>3</v>
      </c>
      <c r="H1751" s="402">
        <f>F1751*G1751</f>
        <v>149.55000000000001</v>
      </c>
    </row>
    <row r="1752" spans="2:8" s="69" customFormat="1" ht="19.5" customHeight="1" x14ac:dyDescent="0.25">
      <c r="B1752" s="428"/>
      <c r="C1752" s="321"/>
      <c r="D1752" s="83" t="s">
        <v>971</v>
      </c>
      <c r="E1752" s="67" t="s">
        <v>24</v>
      </c>
      <c r="F1752" s="331">
        <v>51.7</v>
      </c>
      <c r="G1752" s="331">
        <v>3</v>
      </c>
      <c r="H1752" s="402">
        <f>F1752*G1752*2</f>
        <v>310.20000000000005</v>
      </c>
    </row>
    <row r="1753" spans="2:8" s="69" customFormat="1" ht="19.5" customHeight="1" x14ac:dyDescent="0.25">
      <c r="B1753" s="396"/>
      <c r="C1753" s="322"/>
      <c r="D1753" s="83" t="s">
        <v>972</v>
      </c>
      <c r="E1753" s="67" t="s">
        <v>24</v>
      </c>
      <c r="F1753" s="331">
        <v>49.85</v>
      </c>
      <c r="G1753" s="331">
        <v>3</v>
      </c>
      <c r="H1753" s="402">
        <f>F1753*G1753</f>
        <v>149.55000000000001</v>
      </c>
    </row>
    <row r="1754" spans="2:8" s="69" customFormat="1" ht="19.5" customHeight="1" x14ac:dyDescent="0.25">
      <c r="B1754" s="394" t="s">
        <v>110</v>
      </c>
      <c r="C1754" s="179">
        <v>261550</v>
      </c>
      <c r="D1754" s="77" t="s">
        <v>770</v>
      </c>
      <c r="E1754" s="75" t="s">
        <v>24</v>
      </c>
      <c r="F1754" s="342" t="s">
        <v>26</v>
      </c>
      <c r="G1754" s="342" t="s">
        <v>31</v>
      </c>
      <c r="H1754" s="387">
        <f>SUM(H1755:H1857)</f>
        <v>812.45699999999988</v>
      </c>
    </row>
    <row r="1755" spans="2:8" s="69" customFormat="1" ht="19.5" customHeight="1" x14ac:dyDescent="0.25">
      <c r="B1755" s="449"/>
      <c r="C1755" s="450"/>
      <c r="D1755" s="61" t="s">
        <v>765</v>
      </c>
      <c r="E1755" s="340" t="s">
        <v>24</v>
      </c>
      <c r="F1755" s="338">
        <v>28.58</v>
      </c>
      <c r="G1755" s="338">
        <v>1.5</v>
      </c>
      <c r="H1755" s="385">
        <f>G1755*F1755</f>
        <v>42.87</v>
      </c>
    </row>
    <row r="1756" spans="2:8" s="69" customFormat="1" ht="19.5" customHeight="1" x14ac:dyDescent="0.25">
      <c r="B1756" s="451"/>
      <c r="C1756" s="452"/>
      <c r="D1756" s="61" t="s">
        <v>767</v>
      </c>
      <c r="E1756" s="340" t="s">
        <v>24</v>
      </c>
      <c r="F1756" s="331">
        <v>1</v>
      </c>
      <c r="G1756" s="331">
        <v>1.5</v>
      </c>
      <c r="H1756" s="385">
        <f>-G1756*F1756*2</f>
        <v>-3</v>
      </c>
    </row>
    <row r="1757" spans="2:8" s="69" customFormat="1" ht="19.5" customHeight="1" x14ac:dyDescent="0.25">
      <c r="B1757" s="451"/>
      <c r="C1757" s="452"/>
      <c r="D1757" s="61" t="s">
        <v>766</v>
      </c>
      <c r="E1757" s="340" t="s">
        <v>24</v>
      </c>
      <c r="F1757" s="331">
        <v>1.8</v>
      </c>
      <c r="G1757" s="331">
        <v>0.6</v>
      </c>
      <c r="H1757" s="385">
        <f>-4*G1757*F1757</f>
        <v>-4.32</v>
      </c>
    </row>
    <row r="1758" spans="2:8" s="69" customFormat="1" ht="19.5" customHeight="1" x14ac:dyDescent="0.25">
      <c r="B1758" s="451"/>
      <c r="C1758" s="452"/>
      <c r="D1758" s="61" t="s">
        <v>774</v>
      </c>
      <c r="E1758" s="340" t="s">
        <v>24</v>
      </c>
      <c r="F1758" s="331">
        <v>22.38</v>
      </c>
      <c r="G1758" s="338">
        <v>1.5</v>
      </c>
      <c r="H1758" s="385">
        <f>G1758*F1758</f>
        <v>33.57</v>
      </c>
    </row>
    <row r="1759" spans="2:8" s="69" customFormat="1" ht="19.5" customHeight="1" x14ac:dyDescent="0.25">
      <c r="B1759" s="451"/>
      <c r="C1759" s="452"/>
      <c r="D1759" s="61" t="s">
        <v>773</v>
      </c>
      <c r="E1759" s="340" t="s">
        <v>24</v>
      </c>
      <c r="F1759" s="331">
        <v>1</v>
      </c>
      <c r="G1759" s="331">
        <v>1.5</v>
      </c>
      <c r="H1759" s="385">
        <f>-G1759*F1759</f>
        <v>-1.5</v>
      </c>
    </row>
    <row r="1760" spans="2:8" s="69" customFormat="1" ht="19.5" customHeight="1" x14ac:dyDescent="0.25">
      <c r="B1760" s="453"/>
      <c r="C1760" s="454"/>
      <c r="D1760" s="61" t="s">
        <v>766</v>
      </c>
      <c r="E1760" s="340" t="s">
        <v>24</v>
      </c>
      <c r="F1760" s="331">
        <v>1.8</v>
      </c>
      <c r="G1760" s="331">
        <v>0.6</v>
      </c>
      <c r="H1760" s="385">
        <f>-4*G1760*F1760</f>
        <v>-4.32</v>
      </c>
    </row>
    <row r="1761" spans="2:8" s="69" customFormat="1" ht="19.5" customHeight="1" x14ac:dyDescent="0.25">
      <c r="B1761" s="422"/>
      <c r="C1761" s="287"/>
      <c r="D1761" s="61" t="s">
        <v>788</v>
      </c>
      <c r="E1761" s="340" t="s">
        <v>24</v>
      </c>
      <c r="F1761" s="338">
        <f>3.33*2</f>
        <v>6.66</v>
      </c>
      <c r="G1761" s="338">
        <v>3</v>
      </c>
      <c r="H1761" s="385">
        <f>G1761*F1761</f>
        <v>19.98</v>
      </c>
    </row>
    <row r="1762" spans="2:8" s="69" customFormat="1" ht="19.5" customHeight="1" x14ac:dyDescent="0.25">
      <c r="B1762" s="423"/>
      <c r="C1762" s="288"/>
      <c r="D1762" s="61" t="s">
        <v>791</v>
      </c>
      <c r="E1762" s="340" t="s">
        <v>24</v>
      </c>
      <c r="F1762" s="338">
        <f>3.3+3.3</f>
        <v>6.6</v>
      </c>
      <c r="G1762" s="338">
        <v>3</v>
      </c>
      <c r="H1762" s="385">
        <f>G1762*F1762</f>
        <v>19.799999999999997</v>
      </c>
    </row>
    <row r="1763" spans="2:8" s="69" customFormat="1" ht="19.5" customHeight="1" x14ac:dyDescent="0.25">
      <c r="B1763" s="423"/>
      <c r="C1763" s="288"/>
      <c r="D1763" s="61" t="s">
        <v>792</v>
      </c>
      <c r="E1763" s="340" t="s">
        <v>24</v>
      </c>
      <c r="F1763" s="331">
        <v>24.94</v>
      </c>
      <c r="G1763" s="338">
        <v>1.5</v>
      </c>
      <c r="H1763" s="385">
        <f>G1763*F1763</f>
        <v>37.410000000000004</v>
      </c>
    </row>
    <row r="1764" spans="2:8" s="69" customFormat="1" ht="19.5" customHeight="1" x14ac:dyDescent="0.25">
      <c r="B1764" s="423"/>
      <c r="C1764" s="288"/>
      <c r="D1764" s="61" t="s">
        <v>767</v>
      </c>
      <c r="E1764" s="340" t="s">
        <v>24</v>
      </c>
      <c r="F1764" s="331">
        <v>1</v>
      </c>
      <c r="G1764" s="331">
        <v>1.5</v>
      </c>
      <c r="H1764" s="385">
        <f>-G1764*F1764*2</f>
        <v>-3</v>
      </c>
    </row>
    <row r="1765" spans="2:8" s="69" customFormat="1" ht="19.5" customHeight="1" x14ac:dyDescent="0.25">
      <c r="B1765" s="423"/>
      <c r="C1765" s="288"/>
      <c r="D1765" s="61" t="s">
        <v>766</v>
      </c>
      <c r="E1765" s="340" t="s">
        <v>24</v>
      </c>
      <c r="F1765" s="331">
        <v>1.8</v>
      </c>
      <c r="G1765" s="331">
        <v>0.6</v>
      </c>
      <c r="H1765" s="385">
        <f>-4*G1765*F1765</f>
        <v>-4.32</v>
      </c>
    </row>
    <row r="1766" spans="2:8" s="69" customFormat="1" ht="19.5" customHeight="1" x14ac:dyDescent="0.25">
      <c r="B1766" s="423"/>
      <c r="C1766" s="288"/>
      <c r="D1766" s="61" t="s">
        <v>794</v>
      </c>
      <c r="E1766" s="340" t="s">
        <v>24</v>
      </c>
      <c r="F1766" s="331">
        <f>6.27*2+0.3</f>
        <v>12.84</v>
      </c>
      <c r="G1766" s="338">
        <v>1.5</v>
      </c>
      <c r="H1766" s="385">
        <f>G1766*F1766</f>
        <v>19.259999999999998</v>
      </c>
    </row>
    <row r="1767" spans="2:8" s="69" customFormat="1" ht="19.5" customHeight="1" x14ac:dyDescent="0.25">
      <c r="B1767" s="423"/>
      <c r="C1767" s="288"/>
      <c r="D1767" s="61" t="s">
        <v>773</v>
      </c>
      <c r="E1767" s="340" t="s">
        <v>24</v>
      </c>
      <c r="F1767" s="331">
        <v>1</v>
      </c>
      <c r="G1767" s="331">
        <v>1.5</v>
      </c>
      <c r="H1767" s="385">
        <f>-G1767*F1767</f>
        <v>-1.5</v>
      </c>
    </row>
    <row r="1768" spans="2:8" s="69" customFormat="1" ht="19.5" customHeight="1" x14ac:dyDescent="0.25">
      <c r="B1768" s="423"/>
      <c r="C1768" s="288"/>
      <c r="D1768" s="61" t="s">
        <v>766</v>
      </c>
      <c r="E1768" s="340" t="s">
        <v>24</v>
      </c>
      <c r="F1768" s="331">
        <v>1.8</v>
      </c>
      <c r="G1768" s="331">
        <v>0.6</v>
      </c>
      <c r="H1768" s="385">
        <f>-4*G1768*F1768</f>
        <v>-4.32</v>
      </c>
    </row>
    <row r="1769" spans="2:8" s="69" customFormat="1" ht="19.5" customHeight="1" x14ac:dyDescent="0.25">
      <c r="B1769" s="423"/>
      <c r="C1769" s="288"/>
      <c r="D1769" s="61" t="s">
        <v>795</v>
      </c>
      <c r="E1769" s="340" t="s">
        <v>24</v>
      </c>
      <c r="F1769" s="331">
        <v>25.09</v>
      </c>
      <c r="G1769" s="338">
        <v>1.5</v>
      </c>
      <c r="H1769" s="385">
        <f>G1769*F1769</f>
        <v>37.634999999999998</v>
      </c>
    </row>
    <row r="1770" spans="2:8" s="69" customFormat="1" ht="19.5" customHeight="1" x14ac:dyDescent="0.25">
      <c r="B1770" s="423"/>
      <c r="C1770" s="288"/>
      <c r="D1770" s="61" t="s">
        <v>767</v>
      </c>
      <c r="E1770" s="340" t="s">
        <v>24</v>
      </c>
      <c r="F1770" s="331">
        <v>1</v>
      </c>
      <c r="G1770" s="331">
        <v>1.5</v>
      </c>
      <c r="H1770" s="385">
        <f>-G1770*F1770*2</f>
        <v>-3</v>
      </c>
    </row>
    <row r="1771" spans="2:8" s="69" customFormat="1" ht="19.5" customHeight="1" x14ac:dyDescent="0.25">
      <c r="B1771" s="423"/>
      <c r="C1771" s="288"/>
      <c r="D1771" s="61" t="s">
        <v>766</v>
      </c>
      <c r="E1771" s="340" t="s">
        <v>24</v>
      </c>
      <c r="F1771" s="331">
        <v>1.8</v>
      </c>
      <c r="G1771" s="331">
        <v>0.6</v>
      </c>
      <c r="H1771" s="385">
        <f>-4*G1771*F1771</f>
        <v>-4.32</v>
      </c>
    </row>
    <row r="1772" spans="2:8" s="69" customFormat="1" ht="19.5" customHeight="1" x14ac:dyDescent="0.25">
      <c r="B1772" s="423"/>
      <c r="C1772" s="288"/>
      <c r="D1772" s="61" t="s">
        <v>797</v>
      </c>
      <c r="E1772" s="340" t="s">
        <v>24</v>
      </c>
      <c r="F1772" s="331">
        <v>12.99</v>
      </c>
      <c r="G1772" s="338">
        <v>1.5</v>
      </c>
      <c r="H1772" s="385">
        <f>G1772*F1772</f>
        <v>19.484999999999999</v>
      </c>
    </row>
    <row r="1773" spans="2:8" s="69" customFormat="1" ht="19.5" customHeight="1" x14ac:dyDescent="0.25">
      <c r="B1773" s="423"/>
      <c r="C1773" s="288"/>
      <c r="D1773" s="61" t="s">
        <v>773</v>
      </c>
      <c r="E1773" s="340" t="s">
        <v>24</v>
      </c>
      <c r="F1773" s="331">
        <v>1</v>
      </c>
      <c r="G1773" s="331">
        <v>1.5</v>
      </c>
      <c r="H1773" s="385">
        <f>-G1773*F1773</f>
        <v>-1.5</v>
      </c>
    </row>
    <row r="1774" spans="2:8" s="69" customFormat="1" ht="19.5" customHeight="1" x14ac:dyDescent="0.25">
      <c r="B1774" s="423"/>
      <c r="C1774" s="288"/>
      <c r="D1774" s="61" t="s">
        <v>766</v>
      </c>
      <c r="E1774" s="340" t="s">
        <v>24</v>
      </c>
      <c r="F1774" s="331">
        <v>1.8</v>
      </c>
      <c r="G1774" s="331">
        <v>0.6</v>
      </c>
      <c r="H1774" s="385">
        <f>-4*G1774*F1774</f>
        <v>-4.32</v>
      </c>
    </row>
    <row r="1775" spans="2:8" s="69" customFormat="1" ht="19.5" customHeight="1" x14ac:dyDescent="0.25">
      <c r="B1775" s="423"/>
      <c r="C1775" s="288"/>
      <c r="D1775" s="61" t="s">
        <v>800</v>
      </c>
      <c r="E1775" s="340" t="s">
        <v>24</v>
      </c>
      <c r="F1775" s="338">
        <f>12.81-9.46</f>
        <v>3.3499999999999996</v>
      </c>
      <c r="G1775" s="338">
        <v>1.5</v>
      </c>
      <c r="H1775" s="385">
        <f>G1775*F1775</f>
        <v>5.0249999999999995</v>
      </c>
    </row>
    <row r="1776" spans="2:8" s="69" customFormat="1" ht="19.5" customHeight="1" x14ac:dyDescent="0.25">
      <c r="B1776" s="423"/>
      <c r="C1776" s="288"/>
      <c r="D1776" s="61" t="s">
        <v>773</v>
      </c>
      <c r="E1776" s="340" t="s">
        <v>24</v>
      </c>
      <c r="F1776" s="331">
        <v>1</v>
      </c>
      <c r="G1776" s="331">
        <v>1.5</v>
      </c>
      <c r="H1776" s="385">
        <f>-G1776*F1776</f>
        <v>-1.5</v>
      </c>
    </row>
    <row r="1777" spans="2:8" s="69" customFormat="1" ht="19.5" customHeight="1" x14ac:dyDescent="0.25">
      <c r="B1777" s="423"/>
      <c r="C1777" s="288"/>
      <c r="D1777" s="61" t="s">
        <v>766</v>
      </c>
      <c r="E1777" s="340" t="s">
        <v>24</v>
      </c>
      <c r="F1777" s="331">
        <v>1.8</v>
      </c>
      <c r="G1777" s="331">
        <v>0.6</v>
      </c>
      <c r="H1777" s="385">
        <f>-4*G1777*F1777</f>
        <v>-4.32</v>
      </c>
    </row>
    <row r="1778" spans="2:8" s="69" customFormat="1" ht="19.5" customHeight="1" x14ac:dyDescent="0.25">
      <c r="B1778" s="423"/>
      <c r="C1778" s="288"/>
      <c r="D1778" s="61" t="s">
        <v>801</v>
      </c>
      <c r="E1778" s="340" t="s">
        <v>24</v>
      </c>
      <c r="F1778" s="331">
        <f>0.765+2.5+6.2</f>
        <v>9.4649999999999999</v>
      </c>
      <c r="G1778" s="338">
        <v>1.5</v>
      </c>
      <c r="H1778" s="385">
        <f>G1778*F1778</f>
        <v>14.1975</v>
      </c>
    </row>
    <row r="1779" spans="2:8" s="69" customFormat="1" ht="19.5" customHeight="1" x14ac:dyDescent="0.25">
      <c r="B1779" s="423"/>
      <c r="C1779" s="288"/>
      <c r="D1779" s="61" t="s">
        <v>773</v>
      </c>
      <c r="E1779" s="340" t="s">
        <v>24</v>
      </c>
      <c r="F1779" s="331">
        <v>1</v>
      </c>
      <c r="G1779" s="338">
        <v>1.5</v>
      </c>
      <c r="H1779" s="385">
        <f>-G1779*F1779</f>
        <v>-1.5</v>
      </c>
    </row>
    <row r="1780" spans="2:8" s="69" customFormat="1" ht="19.5" customHeight="1" x14ac:dyDescent="0.25">
      <c r="B1780" s="423"/>
      <c r="C1780" s="288"/>
      <c r="D1780" s="61" t="s">
        <v>802</v>
      </c>
      <c r="E1780" s="340" t="s">
        <v>24</v>
      </c>
      <c r="F1780" s="338">
        <f>12.81-9.46</f>
        <v>3.3499999999999996</v>
      </c>
      <c r="G1780" s="338">
        <v>1.5</v>
      </c>
      <c r="H1780" s="385">
        <f>G1780*F1780</f>
        <v>5.0249999999999995</v>
      </c>
    </row>
    <row r="1781" spans="2:8" s="69" customFormat="1" ht="19.5" customHeight="1" x14ac:dyDescent="0.25">
      <c r="B1781" s="423"/>
      <c r="C1781" s="288"/>
      <c r="D1781" s="61" t="s">
        <v>773</v>
      </c>
      <c r="E1781" s="340" t="s">
        <v>24</v>
      </c>
      <c r="F1781" s="331">
        <v>1</v>
      </c>
      <c r="G1781" s="331">
        <v>1.5</v>
      </c>
      <c r="H1781" s="385">
        <f>-G1781*F1781</f>
        <v>-1.5</v>
      </c>
    </row>
    <row r="1782" spans="2:8" s="69" customFormat="1" ht="19.5" customHeight="1" x14ac:dyDescent="0.25">
      <c r="B1782" s="423"/>
      <c r="C1782" s="288"/>
      <c r="D1782" s="61" t="s">
        <v>766</v>
      </c>
      <c r="E1782" s="340" t="s">
        <v>24</v>
      </c>
      <c r="F1782" s="331">
        <v>1.8</v>
      </c>
      <c r="G1782" s="331">
        <v>0.6</v>
      </c>
      <c r="H1782" s="385">
        <f>-4*G1782*F1782</f>
        <v>-4.32</v>
      </c>
    </row>
    <row r="1783" spans="2:8" s="69" customFormat="1" ht="19.5" customHeight="1" x14ac:dyDescent="0.25">
      <c r="B1783" s="423"/>
      <c r="C1783" s="288"/>
      <c r="D1783" s="61" t="s">
        <v>809</v>
      </c>
      <c r="E1783" s="340" t="s">
        <v>24</v>
      </c>
      <c r="F1783" s="331">
        <f>4.015*2+6.2*2</f>
        <v>20.43</v>
      </c>
      <c r="G1783" s="338">
        <v>1.5</v>
      </c>
      <c r="H1783" s="385">
        <f>G1783*F1783</f>
        <v>30.645</v>
      </c>
    </row>
    <row r="1784" spans="2:8" s="69" customFormat="1" ht="19.5" customHeight="1" x14ac:dyDescent="0.25">
      <c r="B1784" s="423"/>
      <c r="C1784" s="288"/>
      <c r="D1784" s="61" t="s">
        <v>773</v>
      </c>
      <c r="E1784" s="340" t="s">
        <v>24</v>
      </c>
      <c r="F1784" s="331">
        <v>1</v>
      </c>
      <c r="G1784" s="338">
        <v>1.5</v>
      </c>
      <c r="H1784" s="385">
        <f>-G1784*F1784</f>
        <v>-1.5</v>
      </c>
    </row>
    <row r="1785" spans="2:8" s="69" customFormat="1" ht="19.5" customHeight="1" x14ac:dyDescent="0.25">
      <c r="B1785" s="423"/>
      <c r="C1785" s="288"/>
      <c r="D1785" s="61" t="s">
        <v>806</v>
      </c>
      <c r="E1785" s="340" t="s">
        <v>24</v>
      </c>
      <c r="F1785" s="331">
        <v>1.8</v>
      </c>
      <c r="G1785" s="338">
        <v>0.6</v>
      </c>
      <c r="H1785" s="385">
        <f>-2*G1785*F1785</f>
        <v>-2.16</v>
      </c>
    </row>
    <row r="1786" spans="2:8" s="69" customFormat="1" ht="19.5" customHeight="1" x14ac:dyDescent="0.25">
      <c r="B1786" s="423"/>
      <c r="C1786" s="288"/>
      <c r="D1786" s="61" t="s">
        <v>808</v>
      </c>
      <c r="E1786" s="340" t="s">
        <v>24</v>
      </c>
      <c r="F1786" s="338">
        <f>4.015+0.15+4.015+0.075</f>
        <v>8.254999999999999</v>
      </c>
      <c r="G1786" s="338">
        <v>1.5</v>
      </c>
      <c r="H1786" s="385">
        <f>G1786*F1786</f>
        <v>12.382499999999999</v>
      </c>
    </row>
    <row r="1787" spans="2:8" s="69" customFormat="1" ht="19.5" customHeight="1" x14ac:dyDescent="0.25">
      <c r="B1787" s="423"/>
      <c r="C1787" s="288"/>
      <c r="D1787" s="61" t="s">
        <v>773</v>
      </c>
      <c r="E1787" s="340" t="s">
        <v>24</v>
      </c>
      <c r="F1787" s="331">
        <v>1</v>
      </c>
      <c r="G1787" s="331">
        <v>1.5</v>
      </c>
      <c r="H1787" s="385">
        <f>-G1787*F1787</f>
        <v>-1.5</v>
      </c>
    </row>
    <row r="1788" spans="2:8" s="69" customFormat="1" ht="19.5" customHeight="1" x14ac:dyDescent="0.25">
      <c r="B1788" s="423"/>
      <c r="C1788" s="288"/>
      <c r="D1788" s="61" t="s">
        <v>806</v>
      </c>
      <c r="E1788" s="340" t="s">
        <v>24</v>
      </c>
      <c r="F1788" s="331">
        <v>1.8</v>
      </c>
      <c r="G1788" s="331">
        <v>0.6</v>
      </c>
      <c r="H1788" s="385">
        <f>-2*G1788*F1788</f>
        <v>-2.16</v>
      </c>
    </row>
    <row r="1789" spans="2:8" s="69" customFormat="1" ht="19.5" customHeight="1" x14ac:dyDescent="0.25">
      <c r="B1789" s="423"/>
      <c r="C1789" s="288"/>
      <c r="D1789" s="61" t="s">
        <v>817</v>
      </c>
      <c r="E1789" s="340" t="s">
        <v>24</v>
      </c>
      <c r="F1789" s="331">
        <f>6+7.4+1.25+0.15+0.075+0.2+0.2</f>
        <v>15.274999999999999</v>
      </c>
      <c r="G1789" s="338">
        <v>1.5</v>
      </c>
      <c r="H1789" s="385">
        <f>G1789*F1789</f>
        <v>22.912499999999998</v>
      </c>
    </row>
    <row r="1790" spans="2:8" s="69" customFormat="1" ht="19.5" customHeight="1" x14ac:dyDescent="0.25">
      <c r="B1790" s="423"/>
      <c r="C1790" s="288"/>
      <c r="D1790" s="61" t="s">
        <v>773</v>
      </c>
      <c r="E1790" s="340" t="s">
        <v>24</v>
      </c>
      <c r="F1790" s="331">
        <v>1</v>
      </c>
      <c r="G1790" s="338">
        <v>1.5</v>
      </c>
      <c r="H1790" s="385">
        <f>-G1790*F1790</f>
        <v>-1.5</v>
      </c>
    </row>
    <row r="1791" spans="2:8" s="69" customFormat="1" ht="19.5" customHeight="1" x14ac:dyDescent="0.25">
      <c r="B1791" s="423"/>
      <c r="C1791" s="288"/>
      <c r="D1791" s="61" t="s">
        <v>816</v>
      </c>
      <c r="E1791" s="340" t="s">
        <v>24</v>
      </c>
      <c r="F1791" s="331">
        <v>2.5</v>
      </c>
      <c r="G1791" s="338">
        <v>0.6</v>
      </c>
      <c r="H1791" s="385">
        <f>-4*G1791*F1791</f>
        <v>-6</v>
      </c>
    </row>
    <row r="1792" spans="2:8" s="69" customFormat="1" ht="19.5" customHeight="1" x14ac:dyDescent="0.25">
      <c r="B1792" s="423"/>
      <c r="C1792" s="288"/>
      <c r="D1792" s="61" t="s">
        <v>815</v>
      </c>
      <c r="E1792" s="340" t="s">
        <v>24</v>
      </c>
      <c r="F1792" s="338">
        <f>6+6+7.4+7.4</f>
        <v>26.799999999999997</v>
      </c>
      <c r="G1792" s="338">
        <v>1.5</v>
      </c>
      <c r="H1792" s="385">
        <f>G1792*F1792</f>
        <v>40.199999999999996</v>
      </c>
    </row>
    <row r="1793" spans="2:8" s="69" customFormat="1" ht="19.5" customHeight="1" x14ac:dyDescent="0.25">
      <c r="B1793" s="423"/>
      <c r="C1793" s="288"/>
      <c r="D1793" s="61" t="s">
        <v>773</v>
      </c>
      <c r="E1793" s="340" t="s">
        <v>24</v>
      </c>
      <c r="F1793" s="331">
        <v>1</v>
      </c>
      <c r="G1793" s="338">
        <v>1.5</v>
      </c>
      <c r="H1793" s="385">
        <f>-G1793*F1793</f>
        <v>-1.5</v>
      </c>
    </row>
    <row r="1794" spans="2:8" s="69" customFormat="1" ht="19.5" customHeight="1" x14ac:dyDescent="0.25">
      <c r="B1794" s="423"/>
      <c r="C1794" s="288"/>
      <c r="D1794" s="61" t="s">
        <v>816</v>
      </c>
      <c r="E1794" s="340" t="s">
        <v>24</v>
      </c>
      <c r="F1794" s="331">
        <v>2.5</v>
      </c>
      <c r="G1794" s="338">
        <v>0.6</v>
      </c>
      <c r="H1794" s="385">
        <f>-4*G1794*F1794</f>
        <v>-6</v>
      </c>
    </row>
    <row r="1795" spans="2:8" s="69" customFormat="1" ht="19.5" customHeight="1" x14ac:dyDescent="0.25">
      <c r="B1795" s="423"/>
      <c r="C1795" s="288"/>
      <c r="D1795" s="61" t="s">
        <v>843</v>
      </c>
      <c r="E1795" s="340" t="s">
        <v>24</v>
      </c>
      <c r="F1795" s="338">
        <f>6.9+0.15+0.15+0.15+1.6+6.9+0.15+1.6</f>
        <v>17.600000000000001</v>
      </c>
      <c r="G1795" s="338">
        <v>1.5</v>
      </c>
      <c r="H1795" s="385">
        <f>G1795*F1795</f>
        <v>26.400000000000002</v>
      </c>
    </row>
    <row r="1796" spans="2:8" s="69" customFormat="1" ht="19.5" customHeight="1" x14ac:dyDescent="0.25">
      <c r="B1796" s="423"/>
      <c r="C1796" s="288"/>
      <c r="D1796" s="61" t="s">
        <v>837</v>
      </c>
      <c r="E1796" s="340" t="s">
        <v>24</v>
      </c>
      <c r="F1796" s="338">
        <v>0.8</v>
      </c>
      <c r="G1796" s="338">
        <v>1.5</v>
      </c>
      <c r="H1796" s="385">
        <f>-2*G1796*F1796</f>
        <v>-2.4000000000000004</v>
      </c>
    </row>
    <row r="1797" spans="2:8" s="69" customFormat="1" ht="19.5" customHeight="1" x14ac:dyDescent="0.25">
      <c r="B1797" s="423"/>
      <c r="C1797" s="288"/>
      <c r="D1797" s="61" t="s">
        <v>838</v>
      </c>
      <c r="E1797" s="340" t="s">
        <v>24</v>
      </c>
      <c r="F1797" s="338">
        <v>1</v>
      </c>
      <c r="G1797" s="338">
        <v>1.5</v>
      </c>
      <c r="H1797" s="385">
        <f>G1797*F1797*-1</f>
        <v>-1.5</v>
      </c>
    </row>
    <row r="1798" spans="2:8" s="69" customFormat="1" ht="19.5" customHeight="1" x14ac:dyDescent="0.25">
      <c r="B1798" s="423"/>
      <c r="C1798" s="288"/>
      <c r="D1798" s="61" t="s">
        <v>839</v>
      </c>
      <c r="E1798" s="340" t="s">
        <v>24</v>
      </c>
      <c r="F1798" s="235">
        <v>0.6</v>
      </c>
      <c r="G1798" s="235">
        <v>0.6</v>
      </c>
      <c r="H1798" s="385">
        <f t="shared" ref="H1798:H1800" si="104">G1798*F1798*-1</f>
        <v>-0.36</v>
      </c>
    </row>
    <row r="1799" spans="2:8" s="69" customFormat="1" ht="19.5" customHeight="1" x14ac:dyDescent="0.25">
      <c r="B1799" s="423"/>
      <c r="C1799" s="288"/>
      <c r="D1799" s="61" t="s">
        <v>841</v>
      </c>
      <c r="E1799" s="340" t="s">
        <v>24</v>
      </c>
      <c r="F1799" s="338">
        <v>1.8</v>
      </c>
      <c r="G1799" s="338">
        <v>0.6</v>
      </c>
      <c r="H1799" s="385">
        <f t="shared" si="104"/>
        <v>-1.08</v>
      </c>
    </row>
    <row r="1800" spans="2:8" s="69" customFormat="1" ht="19.5" customHeight="1" x14ac:dyDescent="0.25">
      <c r="B1800" s="423"/>
      <c r="C1800" s="288"/>
      <c r="D1800" s="61" t="s">
        <v>842</v>
      </c>
      <c r="E1800" s="340" t="s">
        <v>24</v>
      </c>
      <c r="F1800" s="338">
        <v>1.3</v>
      </c>
      <c r="G1800" s="338">
        <v>0.6</v>
      </c>
      <c r="H1800" s="385">
        <f t="shared" si="104"/>
        <v>-0.78</v>
      </c>
    </row>
    <row r="1801" spans="2:8" s="69" customFormat="1" ht="19.5" customHeight="1" x14ac:dyDescent="0.25">
      <c r="B1801" s="423"/>
      <c r="C1801" s="288"/>
      <c r="D1801" s="61" t="s">
        <v>840</v>
      </c>
      <c r="E1801" s="340" t="s">
        <v>24</v>
      </c>
      <c r="F1801" s="338">
        <v>2.4</v>
      </c>
      <c r="G1801" s="338">
        <v>0.6</v>
      </c>
      <c r="H1801" s="385">
        <f>G1801*F1801*-1*2</f>
        <v>-2.88</v>
      </c>
    </row>
    <row r="1802" spans="2:8" s="69" customFormat="1" ht="19.5" customHeight="1" x14ac:dyDescent="0.25">
      <c r="B1802" s="423"/>
      <c r="C1802" s="288"/>
      <c r="D1802" s="61" t="s">
        <v>846</v>
      </c>
      <c r="E1802" s="340" t="s">
        <v>24</v>
      </c>
      <c r="F1802" s="338">
        <f>0.075+3.04+0.18+0.15+6.35</f>
        <v>9.7949999999999999</v>
      </c>
      <c r="G1802" s="338">
        <v>1.5</v>
      </c>
      <c r="H1802" s="385">
        <f>G1802*F1802</f>
        <v>14.692499999999999</v>
      </c>
    </row>
    <row r="1803" spans="2:8" s="69" customFormat="1" ht="19.5" customHeight="1" x14ac:dyDescent="0.25">
      <c r="B1803" s="423"/>
      <c r="C1803" s="288"/>
      <c r="D1803" s="61" t="s">
        <v>845</v>
      </c>
      <c r="E1803" s="340" t="s">
        <v>24</v>
      </c>
      <c r="F1803" s="338">
        <v>2</v>
      </c>
      <c r="G1803" s="338">
        <v>0.6</v>
      </c>
      <c r="H1803" s="385">
        <f t="shared" ref="H1803" si="105">G1803*F1803*-1</f>
        <v>-1.2</v>
      </c>
    </row>
    <row r="1804" spans="2:8" s="69" customFormat="1" ht="19.5" customHeight="1" x14ac:dyDescent="0.25">
      <c r="B1804" s="423"/>
      <c r="C1804" s="288"/>
      <c r="D1804" s="61" t="s">
        <v>844</v>
      </c>
      <c r="E1804" s="340" t="s">
        <v>24</v>
      </c>
      <c r="F1804" s="338">
        <v>0.8</v>
      </c>
      <c r="G1804" s="338">
        <v>1.5</v>
      </c>
      <c r="H1804" s="385">
        <f>-G1804*F1804</f>
        <v>-1.2000000000000002</v>
      </c>
    </row>
    <row r="1805" spans="2:8" s="69" customFormat="1" ht="19.5" customHeight="1" x14ac:dyDescent="0.25">
      <c r="B1805" s="424"/>
      <c r="C1805" s="289"/>
      <c r="D1805" s="61" t="s">
        <v>847</v>
      </c>
      <c r="E1805" s="340" t="s">
        <v>24</v>
      </c>
      <c r="F1805" s="338">
        <f>0.15+3.04</f>
        <v>3.19</v>
      </c>
      <c r="G1805" s="338">
        <v>1.5</v>
      </c>
      <c r="H1805" s="385">
        <f>G1805*F1805</f>
        <v>4.7850000000000001</v>
      </c>
    </row>
    <row r="1806" spans="2:8" s="69" customFormat="1" ht="19.5" customHeight="1" x14ac:dyDescent="0.25">
      <c r="B1806" s="449"/>
      <c r="C1806" s="450"/>
      <c r="D1806" s="61" t="s">
        <v>845</v>
      </c>
      <c r="E1806" s="340" t="s">
        <v>24</v>
      </c>
      <c r="F1806" s="338">
        <v>2</v>
      </c>
      <c r="G1806" s="338">
        <v>0.6</v>
      </c>
      <c r="H1806" s="385">
        <f t="shared" ref="H1806" si="106">G1806*F1806*-1</f>
        <v>-1.2</v>
      </c>
    </row>
    <row r="1807" spans="2:8" s="69" customFormat="1" ht="19.5" customHeight="1" x14ac:dyDescent="0.25">
      <c r="B1807" s="451"/>
      <c r="C1807" s="452"/>
      <c r="D1807" s="61" t="s">
        <v>859</v>
      </c>
      <c r="E1807" s="340" t="s">
        <v>24</v>
      </c>
      <c r="F1807" s="331">
        <f>8.14+0.018+0.15+1.46+8.08+0.075</f>
        <v>17.922999999999998</v>
      </c>
      <c r="G1807" s="331">
        <v>1.5</v>
      </c>
      <c r="H1807" s="385">
        <f>G1807*F1807</f>
        <v>26.884499999999996</v>
      </c>
    </row>
    <row r="1808" spans="2:8" s="69" customFormat="1" ht="19.5" customHeight="1" x14ac:dyDescent="0.25">
      <c r="B1808" s="451"/>
      <c r="C1808" s="452"/>
      <c r="D1808" s="61" t="s">
        <v>856</v>
      </c>
      <c r="E1808" s="340" t="s">
        <v>24</v>
      </c>
      <c r="F1808" s="331">
        <v>1.26</v>
      </c>
      <c r="G1808" s="331">
        <v>1.5</v>
      </c>
      <c r="H1808" s="385">
        <f>2*-F1808*G1808</f>
        <v>-3.7800000000000002</v>
      </c>
    </row>
    <row r="1809" spans="2:8" s="69" customFormat="1" ht="19.5" customHeight="1" x14ac:dyDescent="0.25">
      <c r="B1809" s="451"/>
      <c r="C1809" s="452"/>
      <c r="D1809" s="61" t="s">
        <v>857</v>
      </c>
      <c r="E1809" s="340" t="s">
        <v>24</v>
      </c>
      <c r="F1809" s="331">
        <v>6.8</v>
      </c>
      <c r="G1809" s="331">
        <v>0.6</v>
      </c>
      <c r="H1809" s="385">
        <f t="shared" ref="H1809" si="107">2*-F1809*G1809</f>
        <v>-8.16</v>
      </c>
    </row>
    <row r="1810" spans="2:8" s="69" customFormat="1" ht="19.5" customHeight="1" x14ac:dyDescent="0.25">
      <c r="B1810" s="451"/>
      <c r="C1810" s="452"/>
      <c r="D1810" s="61" t="s">
        <v>860</v>
      </c>
      <c r="E1810" s="340" t="s">
        <v>24</v>
      </c>
      <c r="F1810" s="331">
        <f>8.4+0.09+0.18+0.15+1.46+8.4+0.09</f>
        <v>18.77</v>
      </c>
      <c r="G1810" s="331">
        <v>1.5</v>
      </c>
      <c r="H1810" s="385">
        <f t="shared" ref="H1810" si="108">G1810*F1810</f>
        <v>28.155000000000001</v>
      </c>
    </row>
    <row r="1811" spans="2:8" s="69" customFormat="1" ht="19.5" customHeight="1" x14ac:dyDescent="0.25">
      <c r="B1811" s="451"/>
      <c r="C1811" s="452"/>
      <c r="D1811" s="61" t="s">
        <v>856</v>
      </c>
      <c r="E1811" s="340" t="s">
        <v>24</v>
      </c>
      <c r="F1811" s="331">
        <v>1.26</v>
      </c>
      <c r="G1811" s="331">
        <v>1.5</v>
      </c>
      <c r="H1811" s="385">
        <f>2*-F1811*G1811</f>
        <v>-3.7800000000000002</v>
      </c>
    </row>
    <row r="1812" spans="2:8" s="69" customFormat="1" ht="19.5" customHeight="1" x14ac:dyDescent="0.25">
      <c r="B1812" s="451"/>
      <c r="C1812" s="452"/>
      <c r="D1812" s="61" t="s">
        <v>857</v>
      </c>
      <c r="E1812" s="340" t="s">
        <v>24</v>
      </c>
      <c r="F1812" s="331">
        <v>6.8</v>
      </c>
      <c r="G1812" s="331">
        <v>0.6</v>
      </c>
      <c r="H1812" s="385">
        <f t="shared" ref="H1812" si="109">2*-F1812*G1812</f>
        <v>-8.16</v>
      </c>
    </row>
    <row r="1813" spans="2:8" s="69" customFormat="1" ht="19.5" customHeight="1" x14ac:dyDescent="0.25">
      <c r="B1813" s="451"/>
      <c r="C1813" s="452"/>
      <c r="D1813" s="61" t="s">
        <v>861</v>
      </c>
      <c r="E1813" s="340" t="s">
        <v>24</v>
      </c>
      <c r="F1813" s="331">
        <f>0.09+7.59+0.15+0.15+6.35+0.15+0.15+7.59+0.09</f>
        <v>22.31</v>
      </c>
      <c r="G1813" s="331">
        <v>1.5</v>
      </c>
      <c r="H1813" s="385">
        <f t="shared" ref="H1813" si="110">G1813*F1813</f>
        <v>33.464999999999996</v>
      </c>
    </row>
    <row r="1814" spans="2:8" s="69" customFormat="1" ht="19.5" customHeight="1" x14ac:dyDescent="0.25">
      <c r="B1814" s="451"/>
      <c r="C1814" s="452"/>
      <c r="D1814" s="61" t="s">
        <v>773</v>
      </c>
      <c r="E1814" s="340" t="s">
        <v>24</v>
      </c>
      <c r="F1814" s="331">
        <v>1</v>
      </c>
      <c r="G1814" s="338">
        <v>1.5</v>
      </c>
      <c r="H1814" s="385">
        <f>-G1814*F1814*1</f>
        <v>-1.5</v>
      </c>
    </row>
    <row r="1815" spans="2:8" s="69" customFormat="1" ht="19.5" customHeight="1" x14ac:dyDescent="0.25">
      <c r="B1815" s="451"/>
      <c r="C1815" s="452"/>
      <c r="D1815" s="61" t="s">
        <v>816</v>
      </c>
      <c r="E1815" s="340" t="s">
        <v>24</v>
      </c>
      <c r="F1815" s="331">
        <v>2.5</v>
      </c>
      <c r="G1815" s="338">
        <v>0.6</v>
      </c>
      <c r="H1815" s="385">
        <f>-4*G1815*F1815</f>
        <v>-6</v>
      </c>
    </row>
    <row r="1816" spans="2:8" s="69" customFormat="1" ht="19.5" customHeight="1" x14ac:dyDescent="0.25">
      <c r="B1816" s="451"/>
      <c r="C1816" s="452"/>
      <c r="D1816" s="61" t="s">
        <v>862</v>
      </c>
      <c r="E1816" s="340" t="s">
        <v>24</v>
      </c>
      <c r="F1816" s="331">
        <f>1.72+0.18+0.18+2.98+0.18+0.18+1.72</f>
        <v>7.14</v>
      </c>
      <c r="G1816" s="331">
        <v>1.5</v>
      </c>
      <c r="H1816" s="385">
        <f>G1816*F1816</f>
        <v>10.709999999999999</v>
      </c>
    </row>
    <row r="1817" spans="2:8" s="69" customFormat="1" ht="19.5" customHeight="1" x14ac:dyDescent="0.25">
      <c r="B1817" s="451"/>
      <c r="C1817" s="452"/>
      <c r="D1817" s="61" t="s">
        <v>864</v>
      </c>
      <c r="E1817" s="340" t="s">
        <v>24</v>
      </c>
      <c r="F1817" s="331">
        <v>1.3</v>
      </c>
      <c r="G1817" s="338">
        <v>0.6</v>
      </c>
      <c r="H1817" s="385">
        <f>-G1817*F1817*2</f>
        <v>-1.56</v>
      </c>
    </row>
    <row r="1818" spans="2:8" s="69" customFormat="1" ht="19.5" customHeight="1" x14ac:dyDescent="0.25">
      <c r="B1818" s="451"/>
      <c r="C1818" s="452"/>
      <c r="D1818" s="61" t="s">
        <v>865</v>
      </c>
      <c r="E1818" s="340" t="s">
        <v>24</v>
      </c>
      <c r="F1818" s="331">
        <v>2</v>
      </c>
      <c r="G1818" s="338">
        <v>0.6</v>
      </c>
      <c r="H1818" s="385">
        <f>-G1818*F1818</f>
        <v>-1.2</v>
      </c>
    </row>
    <row r="1819" spans="2:8" s="69" customFormat="1" ht="19.5" customHeight="1" x14ac:dyDescent="0.25">
      <c r="B1819" s="451"/>
      <c r="C1819" s="452"/>
      <c r="D1819" s="61" t="s">
        <v>863</v>
      </c>
      <c r="E1819" s="340" t="s">
        <v>24</v>
      </c>
      <c r="F1819" s="331">
        <f>1.46+0.15+2.98+1.46+0.15</f>
        <v>6.2</v>
      </c>
      <c r="G1819" s="331">
        <v>1.5</v>
      </c>
      <c r="H1819" s="385">
        <f>G1819*F1819</f>
        <v>9.3000000000000007</v>
      </c>
    </row>
    <row r="1820" spans="2:8" s="69" customFormat="1" ht="19.5" customHeight="1" x14ac:dyDescent="0.25">
      <c r="B1820" s="451"/>
      <c r="C1820" s="452"/>
      <c r="D1820" s="61" t="s">
        <v>865</v>
      </c>
      <c r="E1820" s="340" t="s">
        <v>24</v>
      </c>
      <c r="F1820" s="331">
        <v>2</v>
      </c>
      <c r="G1820" s="338">
        <v>0.6</v>
      </c>
      <c r="H1820" s="385">
        <f>-G1820*F1820</f>
        <v>-1.2</v>
      </c>
    </row>
    <row r="1821" spans="2:8" s="69" customFormat="1" ht="19.5" customHeight="1" x14ac:dyDescent="0.25">
      <c r="B1821" s="451"/>
      <c r="C1821" s="452"/>
      <c r="D1821" s="61" t="s">
        <v>856</v>
      </c>
      <c r="E1821" s="340" t="s">
        <v>24</v>
      </c>
      <c r="F1821" s="331">
        <v>1.26</v>
      </c>
      <c r="G1821" s="331">
        <v>1.5</v>
      </c>
      <c r="H1821" s="385">
        <f>2*-F1821*G1821</f>
        <v>-3.7800000000000002</v>
      </c>
    </row>
    <row r="1822" spans="2:8" s="69" customFormat="1" ht="19.5" customHeight="1" x14ac:dyDescent="0.25">
      <c r="B1822" s="451"/>
      <c r="C1822" s="452"/>
      <c r="D1822" s="61" t="s">
        <v>872</v>
      </c>
      <c r="E1822" s="340" t="s">
        <v>24</v>
      </c>
      <c r="F1822" s="331">
        <f>8+8+6.05+6.05</f>
        <v>28.1</v>
      </c>
      <c r="G1822" s="331">
        <v>1.5</v>
      </c>
      <c r="H1822" s="385">
        <f>G1822*F1822</f>
        <v>42.150000000000006</v>
      </c>
    </row>
    <row r="1823" spans="2:8" s="69" customFormat="1" ht="19.5" customHeight="1" x14ac:dyDescent="0.25">
      <c r="B1823" s="451"/>
      <c r="C1823" s="452"/>
      <c r="D1823" s="61" t="s">
        <v>773</v>
      </c>
      <c r="E1823" s="340" t="s">
        <v>24</v>
      </c>
      <c r="F1823" s="331">
        <v>1</v>
      </c>
      <c r="G1823" s="338">
        <v>1.5</v>
      </c>
      <c r="H1823" s="385">
        <f>-G1823*F1823*1</f>
        <v>-1.5</v>
      </c>
    </row>
    <row r="1824" spans="2:8" s="69" customFormat="1" ht="19.5" customHeight="1" x14ac:dyDescent="0.25">
      <c r="B1824" s="451"/>
      <c r="C1824" s="452"/>
      <c r="D1824" s="61" t="s">
        <v>816</v>
      </c>
      <c r="E1824" s="340" t="s">
        <v>24</v>
      </c>
      <c r="F1824" s="331">
        <v>2.5</v>
      </c>
      <c r="G1824" s="338">
        <v>0.6</v>
      </c>
      <c r="H1824" s="385">
        <f>-4*G1824*F1824</f>
        <v>-6</v>
      </c>
    </row>
    <row r="1825" spans="2:8" s="69" customFormat="1" ht="19.5" customHeight="1" x14ac:dyDescent="0.25">
      <c r="B1825" s="451"/>
      <c r="C1825" s="452"/>
      <c r="D1825" s="61" t="s">
        <v>873</v>
      </c>
      <c r="E1825" s="340" t="s">
        <v>24</v>
      </c>
      <c r="F1825" s="331">
        <f>8+6+6+8</f>
        <v>28</v>
      </c>
      <c r="G1825" s="331">
        <v>1.5</v>
      </c>
      <c r="H1825" s="385">
        <f>G1825*F1825</f>
        <v>42</v>
      </c>
    </row>
    <row r="1826" spans="2:8" s="69" customFormat="1" ht="19.5" customHeight="1" x14ac:dyDescent="0.25">
      <c r="B1826" s="451"/>
      <c r="C1826" s="452"/>
      <c r="D1826" s="61" t="s">
        <v>874</v>
      </c>
      <c r="E1826" s="340" t="s">
        <v>24</v>
      </c>
      <c r="F1826" s="331">
        <v>0.8</v>
      </c>
      <c r="G1826" s="338">
        <v>1.5</v>
      </c>
      <c r="H1826" s="385">
        <f>-G1826*F1826*1</f>
        <v>-1.2000000000000002</v>
      </c>
    </row>
    <row r="1827" spans="2:8" s="69" customFormat="1" ht="19.5" customHeight="1" x14ac:dyDescent="0.25">
      <c r="B1827" s="451"/>
      <c r="C1827" s="452"/>
      <c r="D1827" s="61" t="s">
        <v>816</v>
      </c>
      <c r="E1827" s="340" t="s">
        <v>24</v>
      </c>
      <c r="F1827" s="331">
        <v>2.5</v>
      </c>
      <c r="G1827" s="338">
        <v>0.6</v>
      </c>
      <c r="H1827" s="385">
        <f>-4*G1827*F1827</f>
        <v>-6</v>
      </c>
    </row>
    <row r="1828" spans="2:8" s="69" customFormat="1" ht="19.5" customHeight="1" x14ac:dyDescent="0.25">
      <c r="B1828" s="451"/>
      <c r="C1828" s="452"/>
      <c r="D1828" s="61" t="s">
        <v>875</v>
      </c>
      <c r="E1828" s="340" t="s">
        <v>24</v>
      </c>
      <c r="F1828" s="252">
        <f>0.1+8+0.15+0.15+6.05+0.15+8+0.15+0.1</f>
        <v>22.85</v>
      </c>
      <c r="G1828" s="331">
        <v>1.5</v>
      </c>
      <c r="H1828" s="385">
        <f>G1828*F1831</f>
        <v>34.237499999999997</v>
      </c>
    </row>
    <row r="1829" spans="2:8" s="69" customFormat="1" ht="19.5" customHeight="1" x14ac:dyDescent="0.25">
      <c r="B1829" s="451"/>
      <c r="C1829" s="452"/>
      <c r="D1829" s="61" t="s">
        <v>773</v>
      </c>
      <c r="E1829" s="340" t="s">
        <v>24</v>
      </c>
      <c r="F1829" s="331">
        <v>1</v>
      </c>
      <c r="G1829" s="338">
        <v>1.5</v>
      </c>
      <c r="H1829" s="385">
        <f>-G1829*F1829*1</f>
        <v>-1.5</v>
      </c>
    </row>
    <row r="1830" spans="2:8" s="69" customFormat="1" ht="19.5" customHeight="1" x14ac:dyDescent="0.25">
      <c r="B1830" s="451"/>
      <c r="C1830" s="452"/>
      <c r="D1830" s="61" t="s">
        <v>816</v>
      </c>
      <c r="E1830" s="340" t="s">
        <v>24</v>
      </c>
      <c r="F1830" s="331">
        <v>2.5</v>
      </c>
      <c r="G1830" s="338">
        <v>0.6</v>
      </c>
      <c r="H1830" s="385">
        <f>-4*G1830*F1830</f>
        <v>-6</v>
      </c>
    </row>
    <row r="1831" spans="2:8" s="69" customFormat="1" ht="19.5" customHeight="1" x14ac:dyDescent="0.25">
      <c r="B1831" s="451"/>
      <c r="C1831" s="452"/>
      <c r="D1831" s="61" t="s">
        <v>876</v>
      </c>
      <c r="E1831" s="340" t="s">
        <v>24</v>
      </c>
      <c r="F1831" s="331">
        <f>6+8+8+0.1+0.15+0.15+0.2+0.15+0.075</f>
        <v>22.824999999999996</v>
      </c>
      <c r="G1831" s="331">
        <v>1.5</v>
      </c>
      <c r="H1831" s="385">
        <f>G1831*F1831</f>
        <v>34.237499999999997</v>
      </c>
    </row>
    <row r="1832" spans="2:8" s="69" customFormat="1" ht="19.5" customHeight="1" x14ac:dyDescent="0.25">
      <c r="B1832" s="451"/>
      <c r="C1832" s="452"/>
      <c r="D1832" s="61" t="s">
        <v>874</v>
      </c>
      <c r="E1832" s="340" t="s">
        <v>24</v>
      </c>
      <c r="F1832" s="331">
        <v>0.8</v>
      </c>
      <c r="G1832" s="338">
        <v>1.5</v>
      </c>
      <c r="H1832" s="385">
        <f>-G1832*F1832*1</f>
        <v>-1.2000000000000002</v>
      </c>
    </row>
    <row r="1833" spans="2:8" s="69" customFormat="1" ht="19.5" customHeight="1" x14ac:dyDescent="0.25">
      <c r="B1833" s="451"/>
      <c r="C1833" s="452"/>
      <c r="D1833" s="61" t="s">
        <v>816</v>
      </c>
      <c r="E1833" s="340" t="s">
        <v>24</v>
      </c>
      <c r="F1833" s="331">
        <v>2.5</v>
      </c>
      <c r="G1833" s="338">
        <v>0.6</v>
      </c>
      <c r="H1833" s="385">
        <f>-4*G1833*F1833</f>
        <v>-6</v>
      </c>
    </row>
    <row r="1834" spans="2:8" s="69" customFormat="1" ht="19.5" customHeight="1" x14ac:dyDescent="0.25">
      <c r="B1834" s="451"/>
      <c r="C1834" s="452"/>
      <c r="D1834" s="61" t="s">
        <v>877</v>
      </c>
      <c r="E1834" s="340" t="s">
        <v>24</v>
      </c>
      <c r="F1834" s="331">
        <f>1.25+0.15+6.15+0.2+0.15+4+0.15+3.805+2.9+0.15+2.9</f>
        <v>21.805</v>
      </c>
      <c r="G1834" s="331">
        <v>1.5</v>
      </c>
      <c r="H1834" s="385">
        <f>G1834*F1834</f>
        <v>32.707499999999996</v>
      </c>
    </row>
    <row r="1835" spans="2:8" s="69" customFormat="1" ht="19.5" customHeight="1" x14ac:dyDescent="0.25">
      <c r="B1835" s="451"/>
      <c r="C1835" s="452"/>
      <c r="D1835" s="61" t="s">
        <v>878</v>
      </c>
      <c r="E1835" s="340" t="s">
        <v>24</v>
      </c>
      <c r="F1835" s="338">
        <v>3</v>
      </c>
      <c r="G1835" s="338">
        <v>0.6</v>
      </c>
      <c r="H1835" s="385">
        <f>-2*G1835*F1835</f>
        <v>-3.5999999999999996</v>
      </c>
    </row>
    <row r="1836" spans="2:8" s="69" customFormat="1" ht="19.5" customHeight="1" x14ac:dyDescent="0.25">
      <c r="B1836" s="451"/>
      <c r="C1836" s="452"/>
      <c r="D1836" s="87" t="s">
        <v>928</v>
      </c>
      <c r="E1836" s="340" t="s">
        <v>24</v>
      </c>
      <c r="F1836" s="66">
        <v>24.4</v>
      </c>
      <c r="G1836" s="66">
        <v>1.5</v>
      </c>
      <c r="H1836" s="407">
        <v>36.599999999999994</v>
      </c>
    </row>
    <row r="1837" spans="2:8" s="69" customFormat="1" ht="19.5" customHeight="1" x14ac:dyDescent="0.2">
      <c r="B1837" s="451"/>
      <c r="C1837" s="452"/>
      <c r="D1837" s="164" t="s">
        <v>929</v>
      </c>
      <c r="E1837" s="340" t="s">
        <v>24</v>
      </c>
      <c r="F1837" s="66">
        <v>2.5</v>
      </c>
      <c r="G1837" s="66">
        <v>0.5</v>
      </c>
      <c r="H1837" s="407">
        <v>-5</v>
      </c>
    </row>
    <row r="1838" spans="2:8" s="69" customFormat="1" ht="19.5" customHeight="1" x14ac:dyDescent="0.2">
      <c r="B1838" s="451"/>
      <c r="C1838" s="452"/>
      <c r="D1838" s="164" t="s">
        <v>930</v>
      </c>
      <c r="E1838" s="340" t="s">
        <v>24</v>
      </c>
      <c r="F1838" s="66">
        <v>0.8</v>
      </c>
      <c r="G1838" s="66">
        <v>1.5</v>
      </c>
      <c r="H1838" s="407">
        <v>-1.2000000000000002</v>
      </c>
    </row>
    <row r="1839" spans="2:8" s="69" customFormat="1" ht="19.5" customHeight="1" x14ac:dyDescent="0.2">
      <c r="B1839" s="451"/>
      <c r="C1839" s="452"/>
      <c r="D1839" s="164" t="s">
        <v>436</v>
      </c>
      <c r="E1839" s="340" t="s">
        <v>24</v>
      </c>
      <c r="F1839" s="66">
        <v>11</v>
      </c>
      <c r="G1839" s="66">
        <v>1.5</v>
      </c>
      <c r="H1839" s="407">
        <v>16.5</v>
      </c>
    </row>
    <row r="1840" spans="2:8" s="69" customFormat="1" ht="19.5" customHeight="1" x14ac:dyDescent="0.2">
      <c r="B1840" s="451"/>
      <c r="C1840" s="452"/>
      <c r="D1840" s="164" t="s">
        <v>930</v>
      </c>
      <c r="E1840" s="340" t="s">
        <v>24</v>
      </c>
      <c r="F1840" s="66">
        <v>0.8</v>
      </c>
      <c r="G1840" s="66">
        <v>1.5</v>
      </c>
      <c r="H1840" s="407">
        <v>-1.2000000000000002</v>
      </c>
    </row>
    <row r="1841" spans="2:8" s="69" customFormat="1" ht="19.5" customHeight="1" x14ac:dyDescent="0.2">
      <c r="B1841" s="451"/>
      <c r="C1841" s="452"/>
      <c r="D1841" s="164" t="s">
        <v>437</v>
      </c>
      <c r="E1841" s="340" t="s">
        <v>24</v>
      </c>
      <c r="F1841" s="66">
        <v>12.7</v>
      </c>
      <c r="G1841" s="66">
        <v>1.5</v>
      </c>
      <c r="H1841" s="407">
        <v>19.049999999999997</v>
      </c>
    </row>
    <row r="1842" spans="2:8" s="69" customFormat="1" ht="19.5" customHeight="1" x14ac:dyDescent="0.2">
      <c r="B1842" s="451"/>
      <c r="C1842" s="452"/>
      <c r="D1842" s="164" t="s">
        <v>932</v>
      </c>
      <c r="E1842" s="340" t="s">
        <v>24</v>
      </c>
      <c r="F1842" s="66">
        <v>2.5</v>
      </c>
      <c r="G1842" s="66">
        <v>0.5</v>
      </c>
      <c r="H1842" s="407">
        <v>-1.25</v>
      </c>
    </row>
    <row r="1843" spans="2:8" s="69" customFormat="1" ht="19.5" customHeight="1" x14ac:dyDescent="0.2">
      <c r="B1843" s="451"/>
      <c r="C1843" s="452"/>
      <c r="D1843" s="164" t="s">
        <v>930</v>
      </c>
      <c r="E1843" s="340" t="s">
        <v>24</v>
      </c>
      <c r="F1843" s="66">
        <v>0.8</v>
      </c>
      <c r="G1843" s="66">
        <v>1.5</v>
      </c>
      <c r="H1843" s="407">
        <v>-1.2000000000000002</v>
      </c>
    </row>
    <row r="1844" spans="2:8" s="69" customFormat="1" ht="19.5" customHeight="1" x14ac:dyDescent="0.2">
      <c r="B1844" s="451"/>
      <c r="C1844" s="452"/>
      <c r="D1844" s="164" t="s">
        <v>933</v>
      </c>
      <c r="E1844" s="340" t="s">
        <v>24</v>
      </c>
      <c r="F1844" s="66">
        <v>9.9499999999999993</v>
      </c>
      <c r="G1844" s="66">
        <v>1.5</v>
      </c>
      <c r="H1844" s="407">
        <v>14.924999999999999</v>
      </c>
    </row>
    <row r="1845" spans="2:8" s="69" customFormat="1" ht="19.5" customHeight="1" x14ac:dyDescent="0.2">
      <c r="B1845" s="451"/>
      <c r="C1845" s="452"/>
      <c r="D1845" s="164" t="s">
        <v>934</v>
      </c>
      <c r="E1845" s="340" t="s">
        <v>24</v>
      </c>
      <c r="F1845" s="66">
        <v>0.8</v>
      </c>
      <c r="G1845" s="66">
        <v>1.5</v>
      </c>
      <c r="H1845" s="407">
        <v>-6.0000000000000009</v>
      </c>
    </row>
    <row r="1846" spans="2:8" s="69" customFormat="1" ht="19.5" customHeight="1" x14ac:dyDescent="0.2">
      <c r="B1846" s="451"/>
      <c r="C1846" s="452"/>
      <c r="D1846" s="164" t="s">
        <v>935</v>
      </c>
      <c r="E1846" s="340" t="s">
        <v>24</v>
      </c>
      <c r="F1846" s="66">
        <v>12.100000000000001</v>
      </c>
      <c r="G1846" s="66">
        <v>1.5</v>
      </c>
      <c r="H1846" s="407">
        <v>18.150000000000002</v>
      </c>
    </row>
    <row r="1847" spans="2:8" s="69" customFormat="1" ht="19.5" customHeight="1" x14ac:dyDescent="0.2">
      <c r="B1847" s="451"/>
      <c r="C1847" s="452"/>
      <c r="D1847" s="164" t="s">
        <v>936</v>
      </c>
      <c r="E1847" s="340" t="s">
        <v>24</v>
      </c>
      <c r="F1847" s="66">
        <v>0.8</v>
      </c>
      <c r="G1847" s="66">
        <v>1.5</v>
      </c>
      <c r="H1847" s="407">
        <v>-2.4000000000000004</v>
      </c>
    </row>
    <row r="1848" spans="2:8" s="69" customFormat="1" ht="19.5" customHeight="1" x14ac:dyDescent="0.2">
      <c r="B1848" s="451"/>
      <c r="C1848" s="452"/>
      <c r="D1848" s="164" t="s">
        <v>937</v>
      </c>
      <c r="E1848" s="340" t="s">
        <v>24</v>
      </c>
      <c r="F1848" s="66">
        <v>1.62</v>
      </c>
      <c r="G1848" s="66">
        <v>1.5</v>
      </c>
      <c r="H1848" s="407">
        <v>-2.4300000000000002</v>
      </c>
    </row>
    <row r="1849" spans="2:8" s="69" customFormat="1" ht="19.5" customHeight="1" x14ac:dyDescent="0.2">
      <c r="B1849" s="451"/>
      <c r="C1849" s="452"/>
      <c r="D1849" s="164" t="s">
        <v>431</v>
      </c>
      <c r="E1849" s="340" t="s">
        <v>24</v>
      </c>
      <c r="F1849" s="66">
        <v>19.200000000000003</v>
      </c>
      <c r="G1849" s="66">
        <v>1.5</v>
      </c>
      <c r="H1849" s="407">
        <v>28.800000000000004</v>
      </c>
    </row>
    <row r="1850" spans="2:8" s="69" customFormat="1" ht="19.5" customHeight="1" x14ac:dyDescent="0.2">
      <c r="B1850" s="453"/>
      <c r="C1850" s="454"/>
      <c r="D1850" s="164" t="s">
        <v>932</v>
      </c>
      <c r="E1850" s="340" t="s">
        <v>24</v>
      </c>
      <c r="F1850" s="66">
        <v>2.5</v>
      </c>
      <c r="G1850" s="66">
        <v>0.5</v>
      </c>
      <c r="H1850" s="407">
        <v>-1.25</v>
      </c>
    </row>
    <row r="1851" spans="2:8" s="69" customFormat="1" ht="19.5" customHeight="1" x14ac:dyDescent="0.2">
      <c r="B1851" s="422"/>
      <c r="C1851" s="287"/>
      <c r="D1851" s="164" t="s">
        <v>936</v>
      </c>
      <c r="E1851" s="340" t="s">
        <v>24</v>
      </c>
      <c r="F1851" s="66">
        <v>0.8</v>
      </c>
      <c r="G1851" s="66">
        <v>1.5</v>
      </c>
      <c r="H1851" s="407">
        <v>-2.4000000000000004</v>
      </c>
    </row>
    <row r="1852" spans="2:8" s="69" customFormat="1" ht="19.5" customHeight="1" x14ac:dyDescent="0.2">
      <c r="B1852" s="423"/>
      <c r="C1852" s="288"/>
      <c r="D1852" s="164" t="s">
        <v>940</v>
      </c>
      <c r="E1852" s="340" t="s">
        <v>24</v>
      </c>
      <c r="F1852" s="66">
        <v>78.760000000000005</v>
      </c>
      <c r="G1852" s="66">
        <v>1.5</v>
      </c>
      <c r="H1852" s="407">
        <v>118.14000000000001</v>
      </c>
    </row>
    <row r="1853" spans="2:8" s="69" customFormat="1" ht="19.5" customHeight="1" x14ac:dyDescent="0.2">
      <c r="B1853" s="423"/>
      <c r="C1853" s="288"/>
      <c r="D1853" s="164" t="s">
        <v>941</v>
      </c>
      <c r="E1853" s="340" t="s">
        <v>24</v>
      </c>
      <c r="F1853" s="66">
        <v>2.5</v>
      </c>
      <c r="G1853" s="66">
        <v>0.5</v>
      </c>
      <c r="H1853" s="407">
        <v>-7.5</v>
      </c>
    </row>
    <row r="1854" spans="2:8" s="69" customFormat="1" ht="19.5" customHeight="1" x14ac:dyDescent="0.2">
      <c r="B1854" s="423"/>
      <c r="C1854" s="288"/>
      <c r="D1854" s="164" t="s">
        <v>943</v>
      </c>
      <c r="E1854" s="340" t="s">
        <v>24</v>
      </c>
      <c r="F1854" s="66">
        <v>1.8</v>
      </c>
      <c r="G1854" s="66">
        <v>0.5</v>
      </c>
      <c r="H1854" s="407">
        <v>-3.6</v>
      </c>
    </row>
    <row r="1855" spans="2:8" s="69" customFormat="1" ht="19.5" customHeight="1" x14ac:dyDescent="0.2">
      <c r="B1855" s="423"/>
      <c r="C1855" s="288"/>
      <c r="D1855" s="164" t="s">
        <v>936</v>
      </c>
      <c r="E1855" s="340" t="s">
        <v>24</v>
      </c>
      <c r="F1855" s="66">
        <v>0.8</v>
      </c>
      <c r="G1855" s="66">
        <v>1.5</v>
      </c>
      <c r="H1855" s="407">
        <v>-2.4000000000000004</v>
      </c>
    </row>
    <row r="1856" spans="2:8" s="69" customFormat="1" ht="19.5" customHeight="1" x14ac:dyDescent="0.2">
      <c r="B1856" s="423"/>
      <c r="C1856" s="288"/>
      <c r="D1856" s="164" t="s">
        <v>937</v>
      </c>
      <c r="E1856" s="340" t="s">
        <v>24</v>
      </c>
      <c r="F1856" s="66">
        <v>1.6</v>
      </c>
      <c r="G1856" s="66">
        <v>1.5</v>
      </c>
      <c r="H1856" s="407">
        <v>-2.4000000000000004</v>
      </c>
    </row>
    <row r="1857" spans="2:8" s="69" customFormat="1" ht="19.5" customHeight="1" x14ac:dyDescent="0.2">
      <c r="B1857" s="424"/>
      <c r="C1857" s="289"/>
      <c r="D1857" s="164" t="s">
        <v>1062</v>
      </c>
      <c r="E1857" s="340" t="s">
        <v>24</v>
      </c>
      <c r="F1857" s="568">
        <v>60</v>
      </c>
      <c r="G1857" s="569"/>
      <c r="H1857" s="407">
        <f>F1857</f>
        <v>60</v>
      </c>
    </row>
    <row r="1858" spans="2:8" s="69" customFormat="1" ht="19.5" customHeight="1" x14ac:dyDescent="0.25">
      <c r="B1858" s="394" t="s">
        <v>111</v>
      </c>
      <c r="C1858" s="179">
        <v>261001</v>
      </c>
      <c r="D1858" s="77" t="s">
        <v>771</v>
      </c>
      <c r="E1858" s="75" t="s">
        <v>24</v>
      </c>
      <c r="F1858" s="342" t="s">
        <v>26</v>
      </c>
      <c r="G1858" s="342" t="s">
        <v>31</v>
      </c>
      <c r="H1858" s="387">
        <f>SUM(H1859:H2004)+H2005+H2032</f>
        <v>2766.6628000000001</v>
      </c>
    </row>
    <row r="1859" spans="2:8" s="69" customFormat="1" ht="19.5" customHeight="1" x14ac:dyDescent="0.25">
      <c r="B1859" s="449"/>
      <c r="C1859" s="450"/>
      <c r="D1859" s="61" t="s">
        <v>765</v>
      </c>
      <c r="E1859" s="340" t="s">
        <v>24</v>
      </c>
      <c r="F1859" s="338">
        <v>28.58</v>
      </c>
      <c r="G1859" s="338">
        <v>1.5</v>
      </c>
      <c r="H1859" s="385">
        <f>G1859*F1859</f>
        <v>42.87</v>
      </c>
    </row>
    <row r="1860" spans="2:8" s="69" customFormat="1" ht="19.5" customHeight="1" x14ac:dyDescent="0.25">
      <c r="B1860" s="451"/>
      <c r="C1860" s="452"/>
      <c r="D1860" s="61" t="s">
        <v>767</v>
      </c>
      <c r="E1860" s="340" t="s">
        <v>24</v>
      </c>
      <c r="F1860" s="331">
        <v>1</v>
      </c>
      <c r="G1860" s="331">
        <v>0.6</v>
      </c>
      <c r="H1860" s="385">
        <f>-G1860*F1860*2</f>
        <v>-1.2</v>
      </c>
    </row>
    <row r="1861" spans="2:8" s="69" customFormat="1" ht="19.5" customHeight="1" x14ac:dyDescent="0.25">
      <c r="B1861" s="451"/>
      <c r="C1861" s="452"/>
      <c r="D1861" s="61" t="s">
        <v>766</v>
      </c>
      <c r="E1861" s="340" t="s">
        <v>24</v>
      </c>
      <c r="F1861" s="331">
        <v>1.8</v>
      </c>
      <c r="G1861" s="331">
        <v>0.8</v>
      </c>
      <c r="H1861" s="385">
        <f>-4*G1861*F1861</f>
        <v>-5.7600000000000007</v>
      </c>
    </row>
    <row r="1862" spans="2:8" s="69" customFormat="1" ht="19.5" customHeight="1" x14ac:dyDescent="0.25">
      <c r="B1862" s="451"/>
      <c r="C1862" s="452"/>
      <c r="D1862" s="61" t="s">
        <v>772</v>
      </c>
      <c r="E1862" s="340" t="s">
        <v>24</v>
      </c>
      <c r="F1862" s="331">
        <v>22.38</v>
      </c>
      <c r="G1862" s="338">
        <v>1.5</v>
      </c>
      <c r="H1862" s="385">
        <f>G1862*F1862</f>
        <v>33.57</v>
      </c>
    </row>
    <row r="1863" spans="2:8" s="69" customFormat="1" ht="19.5" customHeight="1" x14ac:dyDescent="0.25">
      <c r="B1863" s="451"/>
      <c r="C1863" s="452"/>
      <c r="D1863" s="61" t="s">
        <v>773</v>
      </c>
      <c r="E1863" s="340" t="s">
        <v>24</v>
      </c>
      <c r="F1863" s="331">
        <v>1</v>
      </c>
      <c r="G1863" s="331">
        <v>0.6</v>
      </c>
      <c r="H1863" s="385">
        <f>-G1863*F1863</f>
        <v>-0.6</v>
      </c>
    </row>
    <row r="1864" spans="2:8" s="69" customFormat="1" ht="19.5" customHeight="1" x14ac:dyDescent="0.25">
      <c r="B1864" s="451"/>
      <c r="C1864" s="452"/>
      <c r="D1864" s="61" t="s">
        <v>766</v>
      </c>
      <c r="E1864" s="340" t="s">
        <v>24</v>
      </c>
      <c r="F1864" s="331">
        <v>1.8</v>
      </c>
      <c r="G1864" s="331">
        <v>0.8</v>
      </c>
      <c r="H1864" s="385">
        <f>-4*G1864*F1864</f>
        <v>-5.7600000000000007</v>
      </c>
    </row>
    <row r="1865" spans="2:8" s="69" customFormat="1" ht="19.5" customHeight="1" x14ac:dyDescent="0.25">
      <c r="B1865" s="451"/>
      <c r="C1865" s="452"/>
      <c r="D1865" s="61" t="s">
        <v>788</v>
      </c>
      <c r="E1865" s="340" t="s">
        <v>24</v>
      </c>
      <c r="F1865" s="338">
        <f>3.33*2</f>
        <v>6.66</v>
      </c>
      <c r="G1865" s="338">
        <v>3</v>
      </c>
      <c r="H1865" s="385">
        <f>G1865*F1865</f>
        <v>19.98</v>
      </c>
    </row>
    <row r="1866" spans="2:8" s="69" customFormat="1" ht="19.5" customHeight="1" x14ac:dyDescent="0.25">
      <c r="B1866" s="451"/>
      <c r="C1866" s="452"/>
      <c r="D1866" s="61" t="s">
        <v>777</v>
      </c>
      <c r="E1866" s="340" t="s">
        <v>24</v>
      </c>
      <c r="F1866" s="338">
        <v>1.8</v>
      </c>
      <c r="G1866" s="338">
        <v>1.4</v>
      </c>
      <c r="H1866" s="385">
        <f>-G1866*F1866</f>
        <v>-2.52</v>
      </c>
    </row>
    <row r="1867" spans="2:8" s="69" customFormat="1" ht="19.5" customHeight="1" x14ac:dyDescent="0.25">
      <c r="B1867" s="451"/>
      <c r="C1867" s="452"/>
      <c r="D1867" s="61" t="s">
        <v>778</v>
      </c>
      <c r="E1867" s="340" t="s">
        <v>24</v>
      </c>
      <c r="F1867" s="338">
        <v>1.9</v>
      </c>
      <c r="G1867" s="338">
        <v>0.75</v>
      </c>
      <c r="H1867" s="385">
        <f>-G1867*F1867</f>
        <v>-1.4249999999999998</v>
      </c>
    </row>
    <row r="1868" spans="2:8" s="69" customFormat="1" ht="19.5" customHeight="1" x14ac:dyDescent="0.25">
      <c r="B1868" s="451"/>
      <c r="C1868" s="452"/>
      <c r="D1868" s="61" t="s">
        <v>791</v>
      </c>
      <c r="E1868" s="340" t="s">
        <v>24</v>
      </c>
      <c r="F1868" s="338">
        <f>3.3+3.3+0.3</f>
        <v>6.8999999999999995</v>
      </c>
      <c r="G1868" s="338">
        <v>3</v>
      </c>
      <c r="H1868" s="385">
        <f>G1868*F1868</f>
        <v>20.7</v>
      </c>
    </row>
    <row r="1869" spans="2:8" s="69" customFormat="1" ht="19.5" customHeight="1" x14ac:dyDescent="0.25">
      <c r="B1869" s="451"/>
      <c r="C1869" s="452"/>
      <c r="D1869" s="61" t="s">
        <v>777</v>
      </c>
      <c r="E1869" s="340" t="s">
        <v>24</v>
      </c>
      <c r="F1869" s="338">
        <v>1.8</v>
      </c>
      <c r="G1869" s="338">
        <v>1.4</v>
      </c>
      <c r="H1869" s="385">
        <f>-G1869*F1869</f>
        <v>-2.52</v>
      </c>
    </row>
    <row r="1870" spans="2:8" s="69" customFormat="1" ht="19.5" customHeight="1" x14ac:dyDescent="0.25">
      <c r="B1870" s="451"/>
      <c r="C1870" s="452"/>
      <c r="D1870" s="61" t="s">
        <v>778</v>
      </c>
      <c r="E1870" s="340" t="s">
        <v>24</v>
      </c>
      <c r="F1870" s="338">
        <v>1.9</v>
      </c>
      <c r="G1870" s="338">
        <v>0.75</v>
      </c>
      <c r="H1870" s="385">
        <f>-G1870*F1870</f>
        <v>-1.4249999999999998</v>
      </c>
    </row>
    <row r="1871" spans="2:8" s="69" customFormat="1" ht="19.5" customHeight="1" x14ac:dyDescent="0.25">
      <c r="B1871" s="451"/>
      <c r="C1871" s="452"/>
      <c r="D1871" s="61" t="s">
        <v>792</v>
      </c>
      <c r="E1871" s="340" t="s">
        <v>24</v>
      </c>
      <c r="F1871" s="338">
        <v>24.94</v>
      </c>
      <c r="G1871" s="338">
        <v>1.5</v>
      </c>
      <c r="H1871" s="385">
        <f>G1871*F1871</f>
        <v>37.410000000000004</v>
      </c>
    </row>
    <row r="1872" spans="2:8" s="69" customFormat="1" ht="19.5" customHeight="1" x14ac:dyDescent="0.25">
      <c r="B1872" s="451"/>
      <c r="C1872" s="452"/>
      <c r="D1872" s="61" t="s">
        <v>767</v>
      </c>
      <c r="E1872" s="340" t="s">
        <v>24</v>
      </c>
      <c r="F1872" s="331">
        <v>1</v>
      </c>
      <c r="G1872" s="331">
        <v>0.6</v>
      </c>
      <c r="H1872" s="385">
        <f>-G1872*F1872*2</f>
        <v>-1.2</v>
      </c>
    </row>
    <row r="1873" spans="2:8" s="69" customFormat="1" ht="19.5" customHeight="1" x14ac:dyDescent="0.25">
      <c r="B1873" s="451"/>
      <c r="C1873" s="452"/>
      <c r="D1873" s="61" t="s">
        <v>766</v>
      </c>
      <c r="E1873" s="340" t="s">
        <v>24</v>
      </c>
      <c r="F1873" s="331">
        <v>1.8</v>
      </c>
      <c r="G1873" s="331">
        <v>0.8</v>
      </c>
      <c r="H1873" s="385">
        <f>-4*G1873*F1873</f>
        <v>-5.7600000000000007</v>
      </c>
    </row>
    <row r="1874" spans="2:8" s="69" customFormat="1" ht="19.5" customHeight="1" x14ac:dyDescent="0.25">
      <c r="B1874" s="451"/>
      <c r="C1874" s="452"/>
      <c r="D1874" s="61" t="s">
        <v>793</v>
      </c>
      <c r="E1874" s="340" t="s">
        <v>24</v>
      </c>
      <c r="F1874" s="331">
        <v>12.84</v>
      </c>
      <c r="G1874" s="338">
        <v>1.5</v>
      </c>
      <c r="H1874" s="385">
        <f>G1874*F1874</f>
        <v>19.259999999999998</v>
      </c>
    </row>
    <row r="1875" spans="2:8" s="69" customFormat="1" ht="19.5" customHeight="1" x14ac:dyDescent="0.25">
      <c r="B1875" s="451"/>
      <c r="C1875" s="452"/>
      <c r="D1875" s="61" t="s">
        <v>773</v>
      </c>
      <c r="E1875" s="340" t="s">
        <v>24</v>
      </c>
      <c r="F1875" s="331">
        <v>1</v>
      </c>
      <c r="G1875" s="331">
        <v>0.6</v>
      </c>
      <c r="H1875" s="385">
        <f>-G1875*F1875</f>
        <v>-0.6</v>
      </c>
    </row>
    <row r="1876" spans="2:8" s="69" customFormat="1" ht="19.5" customHeight="1" x14ac:dyDescent="0.25">
      <c r="B1876" s="451"/>
      <c r="C1876" s="452"/>
      <c r="D1876" s="61" t="s">
        <v>766</v>
      </c>
      <c r="E1876" s="340" t="s">
        <v>24</v>
      </c>
      <c r="F1876" s="331">
        <v>1.8</v>
      </c>
      <c r="G1876" s="331">
        <v>0.8</v>
      </c>
      <c r="H1876" s="385">
        <f>-4*G1876*F1876</f>
        <v>-5.7600000000000007</v>
      </c>
    </row>
    <row r="1877" spans="2:8" s="69" customFormat="1" ht="19.5" customHeight="1" x14ac:dyDescent="0.25">
      <c r="B1877" s="451"/>
      <c r="C1877" s="452"/>
      <c r="D1877" s="61" t="s">
        <v>795</v>
      </c>
      <c r="E1877" s="340" t="s">
        <v>24</v>
      </c>
      <c r="F1877" s="338">
        <v>25.09</v>
      </c>
      <c r="G1877" s="338">
        <v>1.5</v>
      </c>
      <c r="H1877" s="385">
        <f>G1877*F1877</f>
        <v>37.634999999999998</v>
      </c>
    </row>
    <row r="1878" spans="2:8" s="69" customFormat="1" ht="19.5" customHeight="1" x14ac:dyDescent="0.25">
      <c r="B1878" s="451"/>
      <c r="C1878" s="452"/>
      <c r="D1878" s="61" t="s">
        <v>767</v>
      </c>
      <c r="E1878" s="340" t="s">
        <v>24</v>
      </c>
      <c r="F1878" s="331">
        <v>1</v>
      </c>
      <c r="G1878" s="331">
        <v>0.6</v>
      </c>
      <c r="H1878" s="385">
        <f>-G1878*F1878*2</f>
        <v>-1.2</v>
      </c>
    </row>
    <row r="1879" spans="2:8" s="69" customFormat="1" ht="19.5" customHeight="1" x14ac:dyDescent="0.25">
      <c r="B1879" s="451"/>
      <c r="C1879" s="452"/>
      <c r="D1879" s="61" t="s">
        <v>766</v>
      </c>
      <c r="E1879" s="340" t="s">
        <v>24</v>
      </c>
      <c r="F1879" s="331">
        <v>1.8</v>
      </c>
      <c r="G1879" s="331">
        <v>0.8</v>
      </c>
      <c r="H1879" s="385">
        <f>-4*G1879*F1879</f>
        <v>-5.7600000000000007</v>
      </c>
    </row>
    <row r="1880" spans="2:8" s="69" customFormat="1" ht="19.5" customHeight="1" x14ac:dyDescent="0.25">
      <c r="B1880" s="451"/>
      <c r="C1880" s="452"/>
      <c r="D1880" s="61" t="s">
        <v>796</v>
      </c>
      <c r="E1880" s="340" t="s">
        <v>24</v>
      </c>
      <c r="F1880" s="331">
        <v>12.99</v>
      </c>
      <c r="G1880" s="338">
        <v>1.5</v>
      </c>
      <c r="H1880" s="385">
        <f>G1880*F1880</f>
        <v>19.484999999999999</v>
      </c>
    </row>
    <row r="1881" spans="2:8" s="69" customFormat="1" ht="19.5" customHeight="1" x14ac:dyDescent="0.25">
      <c r="B1881" s="451"/>
      <c r="C1881" s="452"/>
      <c r="D1881" s="61" t="s">
        <v>773</v>
      </c>
      <c r="E1881" s="340" t="s">
        <v>24</v>
      </c>
      <c r="F1881" s="331">
        <v>1</v>
      </c>
      <c r="G1881" s="331">
        <v>0.6</v>
      </c>
      <c r="H1881" s="385">
        <f>-G1881*F1881</f>
        <v>-0.6</v>
      </c>
    </row>
    <row r="1882" spans="2:8" s="69" customFormat="1" ht="19.5" customHeight="1" x14ac:dyDescent="0.25">
      <c r="B1882" s="451"/>
      <c r="C1882" s="452"/>
      <c r="D1882" s="61" t="s">
        <v>766</v>
      </c>
      <c r="E1882" s="340" t="s">
        <v>24</v>
      </c>
      <c r="F1882" s="331">
        <v>1.8</v>
      </c>
      <c r="G1882" s="331">
        <v>0.8</v>
      </c>
      <c r="H1882" s="385">
        <f>-4*G1882*F1882</f>
        <v>-5.7600000000000007</v>
      </c>
    </row>
    <row r="1883" spans="2:8" s="69" customFormat="1" ht="19.5" customHeight="1" x14ac:dyDescent="0.25">
      <c r="B1883" s="451"/>
      <c r="C1883" s="452"/>
      <c r="D1883" s="61" t="s">
        <v>800</v>
      </c>
      <c r="E1883" s="340" t="s">
        <v>24</v>
      </c>
      <c r="F1883" s="338">
        <f>12.81-9.46</f>
        <v>3.3499999999999996</v>
      </c>
      <c r="G1883" s="338">
        <v>1.5</v>
      </c>
      <c r="H1883" s="385">
        <f>G1883*F1883</f>
        <v>5.0249999999999995</v>
      </c>
    </row>
    <row r="1884" spans="2:8" s="69" customFormat="1" ht="19.5" customHeight="1" x14ac:dyDescent="0.25">
      <c r="B1884" s="451"/>
      <c r="C1884" s="452"/>
      <c r="D1884" s="61" t="s">
        <v>773</v>
      </c>
      <c r="E1884" s="340" t="s">
        <v>24</v>
      </c>
      <c r="F1884" s="331">
        <v>1</v>
      </c>
      <c r="G1884" s="331">
        <v>0.6</v>
      </c>
      <c r="H1884" s="385">
        <f>-G1884*F1884</f>
        <v>-0.6</v>
      </c>
    </row>
    <row r="1885" spans="2:8" s="69" customFormat="1" ht="19.5" customHeight="1" x14ac:dyDescent="0.25">
      <c r="B1885" s="451"/>
      <c r="C1885" s="452"/>
      <c r="D1885" s="61" t="s">
        <v>766</v>
      </c>
      <c r="E1885" s="340" t="s">
        <v>24</v>
      </c>
      <c r="F1885" s="331">
        <v>1.8</v>
      </c>
      <c r="G1885" s="331">
        <v>0.8</v>
      </c>
      <c r="H1885" s="385">
        <f>-4*G1885*F1885</f>
        <v>-5.7600000000000007</v>
      </c>
    </row>
    <row r="1886" spans="2:8" s="69" customFormat="1" ht="19.5" customHeight="1" x14ac:dyDescent="0.25">
      <c r="B1886" s="451"/>
      <c r="C1886" s="452"/>
      <c r="D1886" s="61" t="s">
        <v>801</v>
      </c>
      <c r="E1886" s="340" t="s">
        <v>24</v>
      </c>
      <c r="F1886" s="331">
        <f>0.765+2.5+6.2</f>
        <v>9.4649999999999999</v>
      </c>
      <c r="G1886" s="338">
        <v>1.5</v>
      </c>
      <c r="H1886" s="385">
        <f>G1886*F1886</f>
        <v>14.1975</v>
      </c>
    </row>
    <row r="1887" spans="2:8" s="69" customFormat="1" ht="19.5" customHeight="1" x14ac:dyDescent="0.25">
      <c r="B1887" s="451"/>
      <c r="C1887" s="452"/>
      <c r="D1887" s="273" t="s">
        <v>773</v>
      </c>
      <c r="E1887" s="340" t="s">
        <v>24</v>
      </c>
      <c r="F1887" s="331">
        <v>1</v>
      </c>
      <c r="G1887" s="338">
        <v>0.6</v>
      </c>
      <c r="H1887" s="385">
        <f>-G1887*F1887</f>
        <v>-0.6</v>
      </c>
    </row>
    <row r="1888" spans="2:8" s="69" customFormat="1" ht="19.5" customHeight="1" x14ac:dyDescent="0.25">
      <c r="B1888" s="451"/>
      <c r="C1888" s="452"/>
      <c r="D1888" s="273" t="s">
        <v>802</v>
      </c>
      <c r="E1888" s="340" t="s">
        <v>24</v>
      </c>
      <c r="F1888" s="338">
        <v>12.99</v>
      </c>
      <c r="G1888" s="338">
        <v>1.5</v>
      </c>
      <c r="H1888" s="385">
        <f>G1888*F1888</f>
        <v>19.484999999999999</v>
      </c>
    </row>
    <row r="1889" spans="2:8" s="69" customFormat="1" ht="19.5" customHeight="1" x14ac:dyDescent="0.25">
      <c r="B1889" s="451"/>
      <c r="C1889" s="452"/>
      <c r="D1889" s="273" t="s">
        <v>773</v>
      </c>
      <c r="E1889" s="340" t="s">
        <v>24</v>
      </c>
      <c r="F1889" s="331">
        <v>1</v>
      </c>
      <c r="G1889" s="331">
        <v>0.6</v>
      </c>
      <c r="H1889" s="385">
        <f>-G1889*F1889</f>
        <v>-0.6</v>
      </c>
    </row>
    <row r="1890" spans="2:8" s="69" customFormat="1" ht="19.5" customHeight="1" x14ac:dyDescent="0.25">
      <c r="B1890" s="451"/>
      <c r="C1890" s="452"/>
      <c r="D1890" s="273" t="s">
        <v>766</v>
      </c>
      <c r="E1890" s="340" t="s">
        <v>24</v>
      </c>
      <c r="F1890" s="331">
        <v>1.8</v>
      </c>
      <c r="G1890" s="331">
        <v>0.8</v>
      </c>
      <c r="H1890" s="385">
        <f>-4*G1890*F1890</f>
        <v>-5.7600000000000007</v>
      </c>
    </row>
    <row r="1891" spans="2:8" s="69" customFormat="1" ht="19.5" customHeight="1" x14ac:dyDescent="0.25">
      <c r="B1891" s="451"/>
      <c r="C1891" s="452"/>
      <c r="D1891" s="273" t="s">
        <v>809</v>
      </c>
      <c r="E1891" s="340" t="s">
        <v>24</v>
      </c>
      <c r="F1891" s="331">
        <f>4.015*2+6.2*2</f>
        <v>20.43</v>
      </c>
      <c r="G1891" s="338">
        <v>1.5</v>
      </c>
      <c r="H1891" s="385">
        <f>G1891*F1891</f>
        <v>30.645</v>
      </c>
    </row>
    <row r="1892" spans="2:8" s="69" customFormat="1" ht="19.5" customHeight="1" x14ac:dyDescent="0.25">
      <c r="B1892" s="451"/>
      <c r="C1892" s="452"/>
      <c r="D1892" s="273" t="s">
        <v>773</v>
      </c>
      <c r="E1892" s="340" t="s">
        <v>24</v>
      </c>
      <c r="F1892" s="331">
        <v>1</v>
      </c>
      <c r="G1892" s="338">
        <v>0.6</v>
      </c>
      <c r="H1892" s="385">
        <f>-G1892*F1892</f>
        <v>-0.6</v>
      </c>
    </row>
    <row r="1893" spans="2:8" s="69" customFormat="1" ht="19.5" customHeight="1" x14ac:dyDescent="0.25">
      <c r="B1893" s="451"/>
      <c r="C1893" s="452"/>
      <c r="D1893" s="273" t="s">
        <v>806</v>
      </c>
      <c r="E1893" s="340" t="s">
        <v>24</v>
      </c>
      <c r="F1893" s="331">
        <v>1.8</v>
      </c>
      <c r="G1893" s="338">
        <v>0.8</v>
      </c>
      <c r="H1893" s="385">
        <f>-2*G1893*F1893</f>
        <v>-2.8800000000000003</v>
      </c>
    </row>
    <row r="1894" spans="2:8" s="69" customFormat="1" ht="19.5" customHeight="1" x14ac:dyDescent="0.25">
      <c r="B1894" s="451"/>
      <c r="C1894" s="452"/>
      <c r="D1894" s="273" t="s">
        <v>808</v>
      </c>
      <c r="E1894" s="340" t="s">
        <v>24</v>
      </c>
      <c r="F1894" s="338">
        <f>4.015+0.15+4.015+0.075</f>
        <v>8.254999999999999</v>
      </c>
      <c r="G1894" s="338">
        <v>3</v>
      </c>
      <c r="H1894" s="385">
        <f>G1894*F1894</f>
        <v>24.764999999999997</v>
      </c>
    </row>
    <row r="1895" spans="2:8" s="69" customFormat="1" ht="19.5" customHeight="1" x14ac:dyDescent="0.25">
      <c r="B1895" s="453"/>
      <c r="C1895" s="454"/>
      <c r="D1895" s="273" t="s">
        <v>773</v>
      </c>
      <c r="E1895" s="340" t="s">
        <v>24</v>
      </c>
      <c r="F1895" s="331">
        <v>1</v>
      </c>
      <c r="G1895" s="331">
        <v>0.6</v>
      </c>
      <c r="H1895" s="385">
        <f>-G1895*F1895</f>
        <v>-0.6</v>
      </c>
    </row>
    <row r="1896" spans="2:8" s="69" customFormat="1" ht="19.5" customHeight="1" x14ac:dyDescent="0.25">
      <c r="B1896" s="449"/>
      <c r="C1896" s="450"/>
      <c r="D1896" s="273" t="s">
        <v>806</v>
      </c>
      <c r="E1896" s="340" t="s">
        <v>24</v>
      </c>
      <c r="F1896" s="331">
        <v>1.8</v>
      </c>
      <c r="G1896" s="331">
        <v>0.8</v>
      </c>
      <c r="H1896" s="385">
        <f>-2*G1896*F1896</f>
        <v>-2.8800000000000003</v>
      </c>
    </row>
    <row r="1897" spans="2:8" s="69" customFormat="1" ht="19.5" customHeight="1" x14ac:dyDescent="0.25">
      <c r="B1897" s="451"/>
      <c r="C1897" s="452"/>
      <c r="D1897" s="273" t="s">
        <v>817</v>
      </c>
      <c r="E1897" s="340" t="s">
        <v>24</v>
      </c>
      <c r="F1897" s="331">
        <f>6+7.4+1.25+0.15+0.075+0.2+0.2</f>
        <v>15.274999999999999</v>
      </c>
      <c r="G1897" s="338">
        <v>1.5</v>
      </c>
      <c r="H1897" s="385">
        <f>G1897*F1897</f>
        <v>22.912499999999998</v>
      </c>
    </row>
    <row r="1898" spans="2:8" s="69" customFormat="1" ht="19.5" customHeight="1" x14ac:dyDescent="0.25">
      <c r="B1898" s="451"/>
      <c r="C1898" s="452"/>
      <c r="D1898" s="273" t="s">
        <v>773</v>
      </c>
      <c r="E1898" s="340" t="s">
        <v>24</v>
      </c>
      <c r="F1898" s="331">
        <v>1</v>
      </c>
      <c r="G1898" s="338">
        <v>0.6</v>
      </c>
      <c r="H1898" s="385">
        <f>-G1898*F1898</f>
        <v>-0.6</v>
      </c>
    </row>
    <row r="1899" spans="2:8" s="69" customFormat="1" ht="19.5" customHeight="1" x14ac:dyDescent="0.25">
      <c r="B1899" s="451"/>
      <c r="C1899" s="452"/>
      <c r="D1899" s="273" t="s">
        <v>816</v>
      </c>
      <c r="E1899" s="340" t="s">
        <v>24</v>
      </c>
      <c r="F1899" s="331">
        <v>2.5</v>
      </c>
      <c r="G1899" s="338">
        <v>0.8</v>
      </c>
      <c r="H1899" s="385">
        <f>-4*G1899*F1899</f>
        <v>-8</v>
      </c>
    </row>
    <row r="1900" spans="2:8" s="69" customFormat="1" ht="19.5" customHeight="1" x14ac:dyDescent="0.25">
      <c r="B1900" s="451"/>
      <c r="C1900" s="452"/>
      <c r="D1900" s="273" t="s">
        <v>815</v>
      </c>
      <c r="E1900" s="340" t="s">
        <v>24</v>
      </c>
      <c r="F1900" s="338">
        <f>6+6+7.4+7.4</f>
        <v>26.799999999999997</v>
      </c>
      <c r="G1900" s="338">
        <v>1.5</v>
      </c>
      <c r="H1900" s="385">
        <f>G1900*F1900</f>
        <v>40.199999999999996</v>
      </c>
    </row>
    <row r="1901" spans="2:8" s="69" customFormat="1" ht="19.5" customHeight="1" x14ac:dyDescent="0.25">
      <c r="B1901" s="451"/>
      <c r="C1901" s="452"/>
      <c r="D1901" s="273" t="s">
        <v>773</v>
      </c>
      <c r="E1901" s="340" t="s">
        <v>24</v>
      </c>
      <c r="F1901" s="331">
        <v>1</v>
      </c>
      <c r="G1901" s="338">
        <v>0.6</v>
      </c>
      <c r="H1901" s="385">
        <f>-G1901*F1901</f>
        <v>-0.6</v>
      </c>
    </row>
    <row r="1902" spans="2:8" s="69" customFormat="1" ht="19.5" customHeight="1" x14ac:dyDescent="0.25">
      <c r="B1902" s="451"/>
      <c r="C1902" s="452"/>
      <c r="D1902" s="273" t="s">
        <v>816</v>
      </c>
      <c r="E1902" s="340" t="s">
        <v>24</v>
      </c>
      <c r="F1902" s="331">
        <v>2.5</v>
      </c>
      <c r="G1902" s="338">
        <v>0.8</v>
      </c>
      <c r="H1902" s="385">
        <f>-4*G1902*F1902</f>
        <v>-8</v>
      </c>
    </row>
    <row r="1903" spans="2:8" s="69" customFormat="1" ht="19.5" customHeight="1" x14ac:dyDescent="0.25">
      <c r="B1903" s="451"/>
      <c r="C1903" s="452"/>
      <c r="D1903" s="273" t="s">
        <v>843</v>
      </c>
      <c r="E1903" s="340" t="s">
        <v>24</v>
      </c>
      <c r="F1903" s="338">
        <f>6.9+0.15+0.15+0.15+1.6+6.9+0.15+1.6</f>
        <v>17.600000000000001</v>
      </c>
      <c r="G1903" s="338">
        <v>1.5</v>
      </c>
      <c r="H1903" s="385">
        <f>G1903*F1903</f>
        <v>26.400000000000002</v>
      </c>
    </row>
    <row r="1904" spans="2:8" s="69" customFormat="1" ht="19.5" customHeight="1" x14ac:dyDescent="0.25">
      <c r="B1904" s="451"/>
      <c r="C1904" s="452"/>
      <c r="D1904" s="273" t="s">
        <v>837</v>
      </c>
      <c r="E1904" s="340" t="s">
        <v>24</v>
      </c>
      <c r="F1904" s="338">
        <v>0.8</v>
      </c>
      <c r="G1904" s="338">
        <v>0.6</v>
      </c>
      <c r="H1904" s="385">
        <f>-2*G1904*F1904</f>
        <v>-0.96</v>
      </c>
    </row>
    <row r="1905" spans="2:8" s="69" customFormat="1" ht="19.5" customHeight="1" x14ac:dyDescent="0.25">
      <c r="B1905" s="451"/>
      <c r="C1905" s="452"/>
      <c r="D1905" s="273" t="s">
        <v>838</v>
      </c>
      <c r="E1905" s="340" t="s">
        <v>24</v>
      </c>
      <c r="F1905" s="338">
        <v>1</v>
      </c>
      <c r="G1905" s="338">
        <v>0.6</v>
      </c>
      <c r="H1905" s="385">
        <f>G1905*F1905*-1</f>
        <v>-0.6</v>
      </c>
    </row>
    <row r="1906" spans="2:8" s="69" customFormat="1" ht="19.5" customHeight="1" x14ac:dyDescent="0.25">
      <c r="B1906" s="451"/>
      <c r="C1906" s="452"/>
      <c r="D1906" s="273" t="s">
        <v>839</v>
      </c>
      <c r="E1906" s="340" t="s">
        <v>24</v>
      </c>
      <c r="F1906" s="235">
        <v>0.6</v>
      </c>
      <c r="G1906" s="235">
        <v>0.5</v>
      </c>
      <c r="H1906" s="385">
        <f t="shared" ref="H1906:H1908" si="111">G1906*F1906*-1</f>
        <v>-0.3</v>
      </c>
    </row>
    <row r="1907" spans="2:8" s="69" customFormat="1" ht="19.5" customHeight="1" x14ac:dyDescent="0.25">
      <c r="B1907" s="451"/>
      <c r="C1907" s="452"/>
      <c r="D1907" s="273" t="s">
        <v>841</v>
      </c>
      <c r="E1907" s="340" t="s">
        <v>24</v>
      </c>
      <c r="F1907" s="338">
        <v>1.8</v>
      </c>
      <c r="G1907" s="338">
        <v>0.8</v>
      </c>
      <c r="H1907" s="385">
        <f t="shared" si="111"/>
        <v>-1.4400000000000002</v>
      </c>
    </row>
    <row r="1908" spans="2:8" s="69" customFormat="1" ht="19.5" customHeight="1" x14ac:dyDescent="0.25">
      <c r="B1908" s="451"/>
      <c r="C1908" s="452"/>
      <c r="D1908" s="273" t="s">
        <v>842</v>
      </c>
      <c r="E1908" s="340" t="s">
        <v>24</v>
      </c>
      <c r="F1908" s="338">
        <v>1.3</v>
      </c>
      <c r="G1908" s="338">
        <v>0.8</v>
      </c>
      <c r="H1908" s="385">
        <f t="shared" si="111"/>
        <v>-1.04</v>
      </c>
    </row>
    <row r="1909" spans="2:8" s="69" customFormat="1" ht="19.5" customHeight="1" x14ac:dyDescent="0.25">
      <c r="B1909" s="451"/>
      <c r="C1909" s="452"/>
      <c r="D1909" s="273" t="s">
        <v>840</v>
      </c>
      <c r="E1909" s="340" t="s">
        <v>24</v>
      </c>
      <c r="F1909" s="338">
        <v>2.4</v>
      </c>
      <c r="G1909" s="338">
        <v>0.8</v>
      </c>
      <c r="H1909" s="385">
        <f>G1909*F1909*-1*2</f>
        <v>-3.84</v>
      </c>
    </row>
    <row r="1910" spans="2:8" s="69" customFormat="1" ht="19.5" customHeight="1" x14ac:dyDescent="0.25">
      <c r="B1910" s="451"/>
      <c r="C1910" s="452"/>
      <c r="D1910" s="273" t="s">
        <v>846</v>
      </c>
      <c r="E1910" s="340" t="s">
        <v>24</v>
      </c>
      <c r="F1910" s="338">
        <f>0.075+3.04+0.18+0.15+6.35</f>
        <v>9.7949999999999999</v>
      </c>
      <c r="G1910" s="338">
        <v>1.5</v>
      </c>
      <c r="H1910" s="385">
        <f>G1910*F1910</f>
        <v>14.692499999999999</v>
      </c>
    </row>
    <row r="1911" spans="2:8" s="69" customFormat="1" ht="19.5" customHeight="1" x14ac:dyDescent="0.25">
      <c r="B1911" s="451"/>
      <c r="C1911" s="452"/>
      <c r="D1911" s="273" t="s">
        <v>845</v>
      </c>
      <c r="E1911" s="340" t="s">
        <v>24</v>
      </c>
      <c r="F1911" s="338">
        <v>2</v>
      </c>
      <c r="G1911" s="338">
        <v>0.8</v>
      </c>
      <c r="H1911" s="385">
        <f t="shared" ref="H1911" si="112">G1911*F1911*-1</f>
        <v>-1.6</v>
      </c>
    </row>
    <row r="1912" spans="2:8" s="69" customFormat="1" ht="19.5" customHeight="1" x14ac:dyDescent="0.25">
      <c r="B1912" s="451"/>
      <c r="C1912" s="452"/>
      <c r="D1912" s="273" t="s">
        <v>844</v>
      </c>
      <c r="E1912" s="340" t="s">
        <v>24</v>
      </c>
      <c r="F1912" s="338">
        <v>0.8</v>
      </c>
      <c r="G1912" s="338">
        <v>0.6</v>
      </c>
      <c r="H1912" s="385">
        <f>-G1912*F1912</f>
        <v>-0.48</v>
      </c>
    </row>
    <row r="1913" spans="2:8" s="69" customFormat="1" ht="19.5" customHeight="1" x14ac:dyDescent="0.25">
      <c r="B1913" s="451"/>
      <c r="C1913" s="452"/>
      <c r="D1913" s="273" t="s">
        <v>847</v>
      </c>
      <c r="E1913" s="340" t="s">
        <v>24</v>
      </c>
      <c r="F1913" s="338">
        <f>0.15+3.04</f>
        <v>3.19</v>
      </c>
      <c r="G1913" s="338">
        <v>1.5</v>
      </c>
      <c r="H1913" s="385">
        <f>G1913*F1913</f>
        <v>4.7850000000000001</v>
      </c>
    </row>
    <row r="1914" spans="2:8" s="69" customFormat="1" ht="19.5" customHeight="1" x14ac:dyDescent="0.25">
      <c r="B1914" s="451"/>
      <c r="C1914" s="452"/>
      <c r="D1914" s="273" t="s">
        <v>845</v>
      </c>
      <c r="E1914" s="340" t="s">
        <v>24</v>
      </c>
      <c r="F1914" s="338">
        <v>2</v>
      </c>
      <c r="G1914" s="338">
        <v>0.8</v>
      </c>
      <c r="H1914" s="385">
        <f t="shared" ref="H1914" si="113">G1914*F1914*-1</f>
        <v>-1.6</v>
      </c>
    </row>
    <row r="1915" spans="2:8" s="69" customFormat="1" ht="19.5" customHeight="1" x14ac:dyDescent="0.25">
      <c r="B1915" s="451"/>
      <c r="C1915" s="452"/>
      <c r="D1915" s="273" t="s">
        <v>848</v>
      </c>
      <c r="E1915" s="340" t="s">
        <v>24</v>
      </c>
      <c r="F1915" s="331">
        <f t="shared" ref="F1915" si="114">14.75+0.075+0.05+11.2+0.075</f>
        <v>26.15</v>
      </c>
      <c r="G1915" s="338">
        <v>1.5</v>
      </c>
      <c r="H1915" s="385">
        <f t="shared" ref="H1915" si="115">G1915*F1915</f>
        <v>39.224999999999994</v>
      </c>
    </row>
    <row r="1916" spans="2:8" s="69" customFormat="1" ht="19.5" customHeight="1" x14ac:dyDescent="0.25">
      <c r="B1916" s="451"/>
      <c r="C1916" s="452"/>
      <c r="D1916" s="273" t="s">
        <v>767</v>
      </c>
      <c r="E1916" s="340" t="s">
        <v>24</v>
      </c>
      <c r="F1916" s="331">
        <v>1</v>
      </c>
      <c r="G1916" s="338">
        <v>0.6</v>
      </c>
      <c r="H1916" s="385">
        <f t="shared" ref="H1916" si="116">-G1916*F1916*2</f>
        <v>-1.2</v>
      </c>
    </row>
    <row r="1917" spans="2:8" s="69" customFormat="1" ht="19.5" customHeight="1" x14ac:dyDescent="0.25">
      <c r="B1917" s="451"/>
      <c r="C1917" s="452"/>
      <c r="D1917" s="273" t="s">
        <v>849</v>
      </c>
      <c r="E1917" s="340" t="s">
        <v>24</v>
      </c>
      <c r="F1917" s="331">
        <v>2.5</v>
      </c>
      <c r="G1917" s="338">
        <v>0.8</v>
      </c>
      <c r="H1917" s="385">
        <f t="shared" ref="H1917" si="117">-6*G1917*F1917</f>
        <v>-12.000000000000002</v>
      </c>
    </row>
    <row r="1918" spans="2:8" s="69" customFormat="1" ht="19.5" customHeight="1" x14ac:dyDescent="0.25">
      <c r="B1918" s="451"/>
      <c r="C1918" s="452"/>
      <c r="D1918" s="273" t="s">
        <v>853</v>
      </c>
      <c r="E1918" s="340" t="s">
        <v>24</v>
      </c>
      <c r="F1918" s="331">
        <f>8.14+8.08+6.35+6.35</f>
        <v>28.92</v>
      </c>
      <c r="G1918" s="331">
        <v>2</v>
      </c>
      <c r="H1918" s="385">
        <f>G1918*F1918</f>
        <v>57.84</v>
      </c>
    </row>
    <row r="1919" spans="2:8" s="69" customFormat="1" ht="19.5" customHeight="1" x14ac:dyDescent="0.25">
      <c r="B1919" s="451"/>
      <c r="C1919" s="452"/>
      <c r="D1919" s="273" t="s">
        <v>856</v>
      </c>
      <c r="E1919" s="340" t="s">
        <v>24</v>
      </c>
      <c r="F1919" s="331">
        <v>1.26</v>
      </c>
      <c r="G1919" s="331">
        <v>2.1</v>
      </c>
      <c r="H1919" s="385">
        <f>2*-F1919*G1919</f>
        <v>-5.2920000000000007</v>
      </c>
    </row>
    <row r="1920" spans="2:8" s="69" customFormat="1" ht="19.5" customHeight="1" x14ac:dyDescent="0.25">
      <c r="B1920" s="451"/>
      <c r="C1920" s="452"/>
      <c r="D1920" s="273" t="s">
        <v>857</v>
      </c>
      <c r="E1920" s="340" t="s">
        <v>24</v>
      </c>
      <c r="F1920" s="331">
        <v>6.8</v>
      </c>
      <c r="G1920" s="331">
        <v>0.75</v>
      </c>
      <c r="H1920" s="385">
        <f t="shared" ref="H1920:H1921" si="118">2*-F1920*G1920</f>
        <v>-10.199999999999999</v>
      </c>
    </row>
    <row r="1921" spans="2:8" s="69" customFormat="1" ht="19.5" customHeight="1" x14ac:dyDescent="0.25">
      <c r="B1921" s="451"/>
      <c r="C1921" s="452"/>
      <c r="D1921" s="273" t="s">
        <v>858</v>
      </c>
      <c r="E1921" s="340" t="s">
        <v>24</v>
      </c>
      <c r="F1921" s="331">
        <v>0.8</v>
      </c>
      <c r="G1921" s="331">
        <v>2.1</v>
      </c>
      <c r="H1921" s="385">
        <f t="shared" si="118"/>
        <v>-3.3600000000000003</v>
      </c>
    </row>
    <row r="1922" spans="2:8" s="69" customFormat="1" ht="19.5" customHeight="1" x14ac:dyDescent="0.25">
      <c r="B1922" s="451"/>
      <c r="C1922" s="452"/>
      <c r="D1922" s="273" t="s">
        <v>854</v>
      </c>
      <c r="E1922" s="340" t="s">
        <v>24</v>
      </c>
      <c r="F1922" s="331">
        <f>8.4+8.4+6.35+6.35</f>
        <v>29.5</v>
      </c>
      <c r="G1922" s="331">
        <v>2</v>
      </c>
      <c r="H1922" s="385">
        <f t="shared" ref="H1922" si="119">G1922*F1922</f>
        <v>59</v>
      </c>
    </row>
    <row r="1923" spans="2:8" s="69" customFormat="1" ht="19.5" customHeight="1" x14ac:dyDescent="0.25">
      <c r="B1923" s="451"/>
      <c r="C1923" s="452"/>
      <c r="D1923" s="273" t="s">
        <v>856</v>
      </c>
      <c r="E1923" s="340" t="s">
        <v>24</v>
      </c>
      <c r="F1923" s="331">
        <v>1.26</v>
      </c>
      <c r="G1923" s="331">
        <v>2.1</v>
      </c>
      <c r="H1923" s="385">
        <f>2*-F1923*G1923</f>
        <v>-5.2920000000000007</v>
      </c>
    </row>
    <row r="1924" spans="2:8" s="69" customFormat="1" ht="19.5" customHeight="1" x14ac:dyDescent="0.25">
      <c r="B1924" s="451"/>
      <c r="C1924" s="452"/>
      <c r="D1924" s="273" t="s">
        <v>857</v>
      </c>
      <c r="E1924" s="340" t="s">
        <v>24</v>
      </c>
      <c r="F1924" s="331">
        <v>6.8</v>
      </c>
      <c r="G1924" s="331">
        <v>0.75</v>
      </c>
      <c r="H1924" s="385">
        <f t="shared" ref="H1924:H1925" si="120">2*-F1924*G1924</f>
        <v>-10.199999999999999</v>
      </c>
    </row>
    <row r="1925" spans="2:8" s="69" customFormat="1" ht="19.5" customHeight="1" x14ac:dyDescent="0.25">
      <c r="B1925" s="451"/>
      <c r="C1925" s="452"/>
      <c r="D1925" s="61" t="s">
        <v>858</v>
      </c>
      <c r="E1925" s="340" t="s">
        <v>24</v>
      </c>
      <c r="F1925" s="331">
        <v>0.8</v>
      </c>
      <c r="G1925" s="331">
        <v>2.1</v>
      </c>
      <c r="H1925" s="385">
        <f t="shared" si="120"/>
        <v>-3.3600000000000003</v>
      </c>
    </row>
    <row r="1926" spans="2:8" s="69" customFormat="1" ht="19.5" customHeight="1" x14ac:dyDescent="0.25">
      <c r="B1926" s="451"/>
      <c r="C1926" s="452"/>
      <c r="D1926" s="61" t="s">
        <v>855</v>
      </c>
      <c r="E1926" s="340" t="s">
        <v>24</v>
      </c>
      <c r="F1926" s="331">
        <f>7.59+7.59+6.35+6.35</f>
        <v>27.880000000000003</v>
      </c>
      <c r="G1926" s="331">
        <v>2</v>
      </c>
      <c r="H1926" s="385">
        <f t="shared" ref="H1926" si="121">G1926*F1926</f>
        <v>55.760000000000005</v>
      </c>
    </row>
    <row r="1927" spans="2:8" s="69" customFormat="1" ht="19.5" customHeight="1" x14ac:dyDescent="0.25">
      <c r="B1927" s="451"/>
      <c r="C1927" s="452"/>
      <c r="D1927" s="61" t="s">
        <v>773</v>
      </c>
      <c r="E1927" s="340" t="s">
        <v>24</v>
      </c>
      <c r="F1927" s="331">
        <v>1</v>
      </c>
      <c r="G1927" s="338">
        <v>2.1</v>
      </c>
      <c r="H1927" s="385">
        <f>-G1927*F1927*1</f>
        <v>-2.1</v>
      </c>
    </row>
    <row r="1928" spans="2:8" s="69" customFormat="1" ht="19.5" customHeight="1" x14ac:dyDescent="0.25">
      <c r="B1928" s="451"/>
      <c r="C1928" s="452"/>
      <c r="D1928" s="61" t="s">
        <v>816</v>
      </c>
      <c r="E1928" s="340" t="s">
        <v>24</v>
      </c>
      <c r="F1928" s="331">
        <v>2.5</v>
      </c>
      <c r="G1928" s="338">
        <v>1.4</v>
      </c>
      <c r="H1928" s="385">
        <f>-4*G1928*F1928</f>
        <v>-14</v>
      </c>
    </row>
    <row r="1929" spans="2:8" s="69" customFormat="1" ht="19.5" customHeight="1" x14ac:dyDescent="0.25">
      <c r="B1929" s="451"/>
      <c r="C1929" s="452"/>
      <c r="D1929" s="61" t="s">
        <v>859</v>
      </c>
      <c r="E1929" s="340" t="s">
        <v>24</v>
      </c>
      <c r="F1929" s="331">
        <f>8.14+0.018+0.15+1.46+8.08+0.075</f>
        <v>17.922999999999998</v>
      </c>
      <c r="G1929" s="331">
        <v>1.5</v>
      </c>
      <c r="H1929" s="385">
        <f>G1929*F1929</f>
        <v>26.884499999999996</v>
      </c>
    </row>
    <row r="1930" spans="2:8" s="69" customFormat="1" ht="19.5" customHeight="1" x14ac:dyDescent="0.25">
      <c r="B1930" s="451"/>
      <c r="C1930" s="452"/>
      <c r="D1930" s="61" t="s">
        <v>856</v>
      </c>
      <c r="E1930" s="340" t="s">
        <v>24</v>
      </c>
      <c r="F1930" s="331">
        <v>1.26</v>
      </c>
      <c r="G1930" s="331">
        <v>0.6</v>
      </c>
      <c r="H1930" s="385">
        <f>2*-F1930*G1930</f>
        <v>-1.512</v>
      </c>
    </row>
    <row r="1931" spans="2:8" s="69" customFormat="1" ht="19.5" customHeight="1" x14ac:dyDescent="0.25">
      <c r="B1931" s="451"/>
      <c r="C1931" s="452"/>
      <c r="D1931" s="61" t="s">
        <v>857</v>
      </c>
      <c r="E1931" s="340" t="s">
        <v>24</v>
      </c>
      <c r="F1931" s="331">
        <v>6.8</v>
      </c>
      <c r="G1931" s="331">
        <v>0.15</v>
      </c>
      <c r="H1931" s="385">
        <f t="shared" ref="H1931" si="122">2*-F1931*G1931</f>
        <v>-2.04</v>
      </c>
    </row>
    <row r="1932" spans="2:8" s="69" customFormat="1" ht="19.5" customHeight="1" x14ac:dyDescent="0.25">
      <c r="B1932" s="451"/>
      <c r="C1932" s="452"/>
      <c r="D1932" s="61" t="s">
        <v>860</v>
      </c>
      <c r="E1932" s="340" t="s">
        <v>24</v>
      </c>
      <c r="F1932" s="331">
        <f>8.4+0.09+0.18+0.15+1.46+8.4+0.09</f>
        <v>18.77</v>
      </c>
      <c r="G1932" s="331">
        <v>1.5</v>
      </c>
      <c r="H1932" s="385">
        <f t="shared" ref="H1932" si="123">G1932*F1932</f>
        <v>28.155000000000001</v>
      </c>
    </row>
    <row r="1933" spans="2:8" s="69" customFormat="1" ht="19.5" customHeight="1" x14ac:dyDescent="0.25">
      <c r="B1933" s="451"/>
      <c r="C1933" s="452"/>
      <c r="D1933" s="61" t="s">
        <v>856</v>
      </c>
      <c r="E1933" s="340" t="s">
        <v>24</v>
      </c>
      <c r="F1933" s="331">
        <v>1.26</v>
      </c>
      <c r="G1933" s="331">
        <v>0.6</v>
      </c>
      <c r="H1933" s="385">
        <f>2*-F1933*G1933</f>
        <v>-1.512</v>
      </c>
    </row>
    <row r="1934" spans="2:8" s="69" customFormat="1" ht="19.5" customHeight="1" x14ac:dyDescent="0.25">
      <c r="B1934" s="451"/>
      <c r="C1934" s="452"/>
      <c r="D1934" s="61" t="s">
        <v>857</v>
      </c>
      <c r="E1934" s="340" t="s">
        <v>24</v>
      </c>
      <c r="F1934" s="331">
        <v>6.8</v>
      </c>
      <c r="G1934" s="331">
        <v>0.15</v>
      </c>
      <c r="H1934" s="385">
        <f t="shared" ref="H1934" si="124">2*-F1934*G1934</f>
        <v>-2.04</v>
      </c>
    </row>
    <row r="1935" spans="2:8" s="69" customFormat="1" ht="19.5" customHeight="1" x14ac:dyDescent="0.25">
      <c r="B1935" s="451"/>
      <c r="C1935" s="452"/>
      <c r="D1935" s="61" t="s">
        <v>861</v>
      </c>
      <c r="E1935" s="340" t="s">
        <v>24</v>
      </c>
      <c r="F1935" s="331">
        <f>0.09+7.59+0.15+0.15+6.35+0.15+0.15+7.59+0.09</f>
        <v>22.31</v>
      </c>
      <c r="G1935" s="331">
        <v>1.5</v>
      </c>
      <c r="H1935" s="385">
        <f t="shared" ref="H1935" si="125">G1935*F1935</f>
        <v>33.464999999999996</v>
      </c>
    </row>
    <row r="1936" spans="2:8" s="69" customFormat="1" ht="19.5" customHeight="1" x14ac:dyDescent="0.25">
      <c r="B1936" s="451"/>
      <c r="C1936" s="452"/>
      <c r="D1936" s="61" t="s">
        <v>773</v>
      </c>
      <c r="E1936" s="340" t="s">
        <v>24</v>
      </c>
      <c r="F1936" s="331">
        <v>1</v>
      </c>
      <c r="G1936" s="338">
        <v>0.6</v>
      </c>
      <c r="H1936" s="385">
        <f>-G1936*F1936*1</f>
        <v>-0.6</v>
      </c>
    </row>
    <row r="1937" spans="2:8" s="69" customFormat="1" ht="19.5" customHeight="1" x14ac:dyDescent="0.25">
      <c r="B1937" s="451"/>
      <c r="C1937" s="452"/>
      <c r="D1937" s="61" t="s">
        <v>816</v>
      </c>
      <c r="E1937" s="340" t="s">
        <v>24</v>
      </c>
      <c r="F1937" s="331">
        <v>2.5</v>
      </c>
      <c r="G1937" s="338">
        <v>0.8</v>
      </c>
      <c r="H1937" s="385">
        <f>-4*G1937*F1937</f>
        <v>-8</v>
      </c>
    </row>
    <row r="1938" spans="2:8" s="69" customFormat="1" ht="19.5" customHeight="1" x14ac:dyDescent="0.25">
      <c r="B1938" s="451"/>
      <c r="C1938" s="452"/>
      <c r="D1938" s="61" t="s">
        <v>862</v>
      </c>
      <c r="E1938" s="340"/>
      <c r="F1938" s="331">
        <f>1.72+0.18+0.18+2.98+0.18+0.18+1.72</f>
        <v>7.14</v>
      </c>
      <c r="G1938" s="331">
        <v>1.5</v>
      </c>
      <c r="H1938" s="385">
        <f>G1938*F1938</f>
        <v>10.709999999999999</v>
      </c>
    </row>
    <row r="1939" spans="2:8" s="69" customFormat="1" ht="19.5" customHeight="1" x14ac:dyDescent="0.25">
      <c r="B1939" s="451"/>
      <c r="C1939" s="452"/>
      <c r="D1939" s="61" t="s">
        <v>864</v>
      </c>
      <c r="E1939" s="340" t="s">
        <v>24</v>
      </c>
      <c r="F1939" s="331">
        <v>1.3</v>
      </c>
      <c r="G1939" s="338">
        <v>0.8</v>
      </c>
      <c r="H1939" s="385">
        <f>-G1939*F1939*2</f>
        <v>-2.08</v>
      </c>
    </row>
    <row r="1940" spans="2:8" s="69" customFormat="1" ht="19.5" customHeight="1" x14ac:dyDescent="0.25">
      <c r="B1940" s="453"/>
      <c r="C1940" s="454"/>
      <c r="D1940" s="61" t="s">
        <v>865</v>
      </c>
      <c r="E1940" s="340" t="s">
        <v>24</v>
      </c>
      <c r="F1940" s="331">
        <v>2</v>
      </c>
      <c r="G1940" s="338">
        <v>0.8</v>
      </c>
      <c r="H1940" s="385">
        <f>-G1940*F1940</f>
        <v>-1.6</v>
      </c>
    </row>
    <row r="1941" spans="2:8" s="69" customFormat="1" ht="19.5" customHeight="1" x14ac:dyDescent="0.25">
      <c r="B1941" s="449"/>
      <c r="C1941" s="450"/>
      <c r="D1941" s="61" t="s">
        <v>863</v>
      </c>
      <c r="E1941" s="340"/>
      <c r="F1941" s="331">
        <f>1.46+0.15+2.98+1.46+0.15</f>
        <v>6.2</v>
      </c>
      <c r="G1941" s="331">
        <v>1.5</v>
      </c>
      <c r="H1941" s="385">
        <f>G1941*F1941</f>
        <v>9.3000000000000007</v>
      </c>
    </row>
    <row r="1942" spans="2:8" s="69" customFormat="1" ht="19.5" customHeight="1" x14ac:dyDescent="0.25">
      <c r="B1942" s="451"/>
      <c r="C1942" s="452"/>
      <c r="D1942" s="61" t="s">
        <v>865</v>
      </c>
      <c r="E1942" s="340" t="s">
        <v>24</v>
      </c>
      <c r="F1942" s="331">
        <v>2</v>
      </c>
      <c r="G1942" s="338">
        <v>0.8</v>
      </c>
      <c r="H1942" s="385">
        <f>-G1942*F1942</f>
        <v>-1.6</v>
      </c>
    </row>
    <row r="1943" spans="2:8" s="69" customFormat="1" ht="19.5" customHeight="1" x14ac:dyDescent="0.25">
      <c r="B1943" s="451"/>
      <c r="C1943" s="452"/>
      <c r="D1943" s="61" t="s">
        <v>856</v>
      </c>
      <c r="E1943" s="340" t="s">
        <v>24</v>
      </c>
      <c r="F1943" s="331">
        <v>1.26</v>
      </c>
      <c r="G1943" s="331">
        <v>0.6</v>
      </c>
      <c r="H1943" s="385">
        <f>2*-F1943*G1943</f>
        <v>-1.512</v>
      </c>
    </row>
    <row r="1944" spans="2:8" s="69" customFormat="1" ht="19.5" customHeight="1" x14ac:dyDescent="0.25">
      <c r="B1944" s="451"/>
      <c r="C1944" s="452"/>
      <c r="D1944" s="61" t="s">
        <v>866</v>
      </c>
      <c r="E1944" s="340" t="s">
        <v>24</v>
      </c>
      <c r="F1944" s="331">
        <f>2.98+2.98+3.19+3.19</f>
        <v>12.34</v>
      </c>
      <c r="G1944" s="331">
        <v>2</v>
      </c>
      <c r="H1944" s="385">
        <f>G1944*F1944</f>
        <v>24.68</v>
      </c>
    </row>
    <row r="1945" spans="2:8" s="69" customFormat="1" ht="19.5" customHeight="1" x14ac:dyDescent="0.25">
      <c r="B1945" s="451"/>
      <c r="C1945" s="452"/>
      <c r="D1945" s="61" t="s">
        <v>865</v>
      </c>
      <c r="E1945" s="340" t="s">
        <v>24</v>
      </c>
      <c r="F1945" s="331">
        <v>2</v>
      </c>
      <c r="G1945" s="338">
        <v>1.3</v>
      </c>
      <c r="H1945" s="385">
        <f>-G1945*F1945</f>
        <v>-2.6</v>
      </c>
    </row>
    <row r="1946" spans="2:8" s="69" customFormat="1" ht="19.5" customHeight="1" x14ac:dyDescent="0.25">
      <c r="B1946" s="451"/>
      <c r="C1946" s="452"/>
      <c r="D1946" s="61" t="s">
        <v>858</v>
      </c>
      <c r="E1946" s="340" t="s">
        <v>24</v>
      </c>
      <c r="F1946" s="331">
        <v>0.8</v>
      </c>
      <c r="G1946" s="331">
        <v>2.1</v>
      </c>
      <c r="H1946" s="385">
        <f>2*-F1946*G1946</f>
        <v>-3.3600000000000003</v>
      </c>
    </row>
    <row r="1947" spans="2:8" s="69" customFormat="1" ht="19.5" customHeight="1" x14ac:dyDescent="0.25">
      <c r="B1947" s="451"/>
      <c r="C1947" s="452"/>
      <c r="D1947" s="61" t="s">
        <v>864</v>
      </c>
      <c r="E1947" s="340" t="s">
        <v>24</v>
      </c>
      <c r="F1947" s="331">
        <v>1.3</v>
      </c>
      <c r="G1947" s="331">
        <v>1.3</v>
      </c>
      <c r="H1947" s="385">
        <f>2*-F1947*G1947</f>
        <v>-3.3800000000000003</v>
      </c>
    </row>
    <row r="1948" spans="2:8" s="69" customFormat="1" ht="19.5" customHeight="1" x14ac:dyDescent="0.25">
      <c r="B1948" s="451"/>
      <c r="C1948" s="452"/>
      <c r="D1948" s="61" t="s">
        <v>867</v>
      </c>
      <c r="E1948" s="340" t="s">
        <v>24</v>
      </c>
      <c r="F1948" s="331">
        <f>2.98+2.98+3.2+3.2</f>
        <v>12.36</v>
      </c>
      <c r="G1948" s="331">
        <v>2</v>
      </c>
      <c r="H1948" s="385">
        <f>G1948*F1948</f>
        <v>24.72</v>
      </c>
    </row>
    <row r="1949" spans="2:8" s="69" customFormat="1" ht="19.5" customHeight="1" x14ac:dyDescent="0.25">
      <c r="B1949" s="451"/>
      <c r="C1949" s="452"/>
      <c r="D1949" s="61" t="s">
        <v>865</v>
      </c>
      <c r="E1949" s="340" t="s">
        <v>24</v>
      </c>
      <c r="F1949" s="331">
        <v>2</v>
      </c>
      <c r="G1949" s="338">
        <v>1.3</v>
      </c>
      <c r="H1949" s="385">
        <f>-G1949*F1949</f>
        <v>-2.6</v>
      </c>
    </row>
    <row r="1950" spans="2:8" s="69" customFormat="1" ht="19.5" customHeight="1" x14ac:dyDescent="0.25">
      <c r="B1950" s="451"/>
      <c r="C1950" s="452"/>
      <c r="D1950" s="61" t="s">
        <v>858</v>
      </c>
      <c r="E1950" s="340" t="s">
        <v>24</v>
      </c>
      <c r="F1950" s="331">
        <v>0.8</v>
      </c>
      <c r="G1950" s="331">
        <v>1.1000000000000001</v>
      </c>
      <c r="H1950" s="385">
        <f>2*-F1950*G1950</f>
        <v>-1.7600000000000002</v>
      </c>
    </row>
    <row r="1951" spans="2:8" s="69" customFormat="1" ht="19.5" customHeight="1" x14ac:dyDescent="0.25">
      <c r="B1951" s="451"/>
      <c r="C1951" s="452"/>
      <c r="D1951" s="61" t="s">
        <v>806</v>
      </c>
      <c r="E1951" s="340" t="s">
        <v>24</v>
      </c>
      <c r="F1951" s="331">
        <v>1.8</v>
      </c>
      <c r="G1951" s="331">
        <v>1.3</v>
      </c>
      <c r="H1951" s="385">
        <f>2*-F1951*G1951</f>
        <v>-4.6800000000000006</v>
      </c>
    </row>
    <row r="1952" spans="2:8" s="69" customFormat="1" ht="19.5" customHeight="1" x14ac:dyDescent="0.25">
      <c r="B1952" s="451"/>
      <c r="C1952" s="452"/>
      <c r="D1952" s="61" t="s">
        <v>872</v>
      </c>
      <c r="E1952" s="340" t="s">
        <v>24</v>
      </c>
      <c r="F1952" s="331">
        <f>8+8+6.05+6.05</f>
        <v>28.1</v>
      </c>
      <c r="G1952" s="331">
        <v>1.5</v>
      </c>
      <c r="H1952" s="385">
        <f>G1952*F1952</f>
        <v>42.150000000000006</v>
      </c>
    </row>
    <row r="1953" spans="2:8" s="69" customFormat="1" ht="19.5" customHeight="1" x14ac:dyDescent="0.25">
      <c r="B1953" s="451"/>
      <c r="C1953" s="452"/>
      <c r="D1953" s="61" t="s">
        <v>773</v>
      </c>
      <c r="E1953" s="340" t="s">
        <v>24</v>
      </c>
      <c r="F1953" s="331">
        <v>1</v>
      </c>
      <c r="G1953" s="338">
        <v>0.6</v>
      </c>
      <c r="H1953" s="385">
        <f>-G1953*F1953*1</f>
        <v>-0.6</v>
      </c>
    </row>
    <row r="1954" spans="2:8" s="69" customFormat="1" ht="19.5" customHeight="1" x14ac:dyDescent="0.25">
      <c r="B1954" s="451"/>
      <c r="C1954" s="452"/>
      <c r="D1954" s="61" t="s">
        <v>816</v>
      </c>
      <c r="E1954" s="340" t="s">
        <v>24</v>
      </c>
      <c r="F1954" s="331">
        <v>2.5</v>
      </c>
      <c r="G1954" s="338">
        <v>0.8</v>
      </c>
      <c r="H1954" s="385">
        <f>-4*G1954*F1954</f>
        <v>-8</v>
      </c>
    </row>
    <row r="1955" spans="2:8" s="69" customFormat="1" ht="19.5" customHeight="1" x14ac:dyDescent="0.25">
      <c r="B1955" s="451"/>
      <c r="C1955" s="452"/>
      <c r="D1955" s="61" t="s">
        <v>873</v>
      </c>
      <c r="E1955" s="340" t="s">
        <v>24</v>
      </c>
      <c r="F1955" s="331">
        <f>8+6+6+8</f>
        <v>28</v>
      </c>
      <c r="G1955" s="331">
        <v>1.5</v>
      </c>
      <c r="H1955" s="385">
        <f>G1955*F1955</f>
        <v>42</v>
      </c>
    </row>
    <row r="1956" spans="2:8" s="69" customFormat="1" ht="19.5" customHeight="1" x14ac:dyDescent="0.25">
      <c r="B1956" s="451"/>
      <c r="C1956" s="452"/>
      <c r="D1956" s="61" t="s">
        <v>874</v>
      </c>
      <c r="E1956" s="340" t="s">
        <v>24</v>
      </c>
      <c r="F1956" s="331">
        <v>0.8</v>
      </c>
      <c r="G1956" s="338">
        <v>0.6</v>
      </c>
      <c r="H1956" s="385">
        <f>-G1956*F1956*1</f>
        <v>-0.48</v>
      </c>
    </row>
    <row r="1957" spans="2:8" s="69" customFormat="1" ht="19.5" customHeight="1" x14ac:dyDescent="0.25">
      <c r="B1957" s="451"/>
      <c r="C1957" s="452"/>
      <c r="D1957" s="61" t="s">
        <v>816</v>
      </c>
      <c r="E1957" s="340" t="s">
        <v>24</v>
      </c>
      <c r="F1957" s="331">
        <v>2.5</v>
      </c>
      <c r="G1957" s="338">
        <v>0.8</v>
      </c>
      <c r="H1957" s="385">
        <f>-4*G1957*F1957</f>
        <v>-8</v>
      </c>
    </row>
    <row r="1958" spans="2:8" s="69" customFormat="1" ht="19.5" customHeight="1" x14ac:dyDescent="0.25">
      <c r="B1958" s="451"/>
      <c r="C1958" s="452"/>
      <c r="D1958" s="61" t="s">
        <v>875</v>
      </c>
      <c r="E1958" s="340" t="s">
        <v>24</v>
      </c>
      <c r="F1958" s="252">
        <f>0.1+8+0.15+0.15+6.05+0.15+8+0.15+0.1</f>
        <v>22.85</v>
      </c>
      <c r="G1958" s="331">
        <v>1.5</v>
      </c>
      <c r="H1958" s="385">
        <f>G1958*F1961</f>
        <v>34.237499999999997</v>
      </c>
    </row>
    <row r="1959" spans="2:8" s="69" customFormat="1" ht="19.5" customHeight="1" x14ac:dyDescent="0.25">
      <c r="B1959" s="451"/>
      <c r="C1959" s="452"/>
      <c r="D1959" s="61" t="s">
        <v>773</v>
      </c>
      <c r="E1959" s="340" t="s">
        <v>24</v>
      </c>
      <c r="F1959" s="331">
        <v>1</v>
      </c>
      <c r="G1959" s="338">
        <v>0.6</v>
      </c>
      <c r="H1959" s="385">
        <f>-G1959*F1959*1</f>
        <v>-0.6</v>
      </c>
    </row>
    <row r="1960" spans="2:8" s="69" customFormat="1" ht="19.5" customHeight="1" x14ac:dyDescent="0.25">
      <c r="B1960" s="451"/>
      <c r="C1960" s="452"/>
      <c r="D1960" s="61" t="s">
        <v>816</v>
      </c>
      <c r="E1960" s="340" t="s">
        <v>24</v>
      </c>
      <c r="F1960" s="331">
        <v>2.5</v>
      </c>
      <c r="G1960" s="338">
        <v>0.8</v>
      </c>
      <c r="H1960" s="385">
        <f>-4*G1960*F1960</f>
        <v>-8</v>
      </c>
    </row>
    <row r="1961" spans="2:8" s="69" customFormat="1" ht="19.5" customHeight="1" x14ac:dyDescent="0.25">
      <c r="B1961" s="451"/>
      <c r="C1961" s="452"/>
      <c r="D1961" s="61" t="s">
        <v>876</v>
      </c>
      <c r="E1961" s="340" t="s">
        <v>24</v>
      </c>
      <c r="F1961" s="331">
        <f>6+8+8+0.1+0.15+0.15+0.2+0.15+0.075</f>
        <v>22.824999999999996</v>
      </c>
      <c r="G1961" s="331">
        <v>1.5</v>
      </c>
      <c r="H1961" s="385">
        <f>G1961*F1961</f>
        <v>34.237499999999997</v>
      </c>
    </row>
    <row r="1962" spans="2:8" s="69" customFormat="1" ht="19.5" customHeight="1" x14ac:dyDescent="0.25">
      <c r="B1962" s="451"/>
      <c r="C1962" s="452"/>
      <c r="D1962" s="61" t="s">
        <v>874</v>
      </c>
      <c r="E1962" s="340" t="s">
        <v>24</v>
      </c>
      <c r="F1962" s="331">
        <v>0.8</v>
      </c>
      <c r="G1962" s="338">
        <v>0.6</v>
      </c>
      <c r="H1962" s="385">
        <f>-G1962*F1962*1</f>
        <v>-0.48</v>
      </c>
    </row>
    <row r="1963" spans="2:8" s="69" customFormat="1" ht="19.5" customHeight="1" x14ac:dyDescent="0.25">
      <c r="B1963" s="451"/>
      <c r="C1963" s="452"/>
      <c r="D1963" s="61" t="s">
        <v>816</v>
      </c>
      <c r="E1963" s="340" t="s">
        <v>24</v>
      </c>
      <c r="F1963" s="331">
        <v>2.5</v>
      </c>
      <c r="G1963" s="338">
        <v>0.8</v>
      </c>
      <c r="H1963" s="385">
        <f>-4*G1963*F1963</f>
        <v>-8</v>
      </c>
    </row>
    <row r="1964" spans="2:8" s="69" customFormat="1" ht="19.5" customHeight="1" x14ac:dyDescent="0.25">
      <c r="B1964" s="451"/>
      <c r="C1964" s="452"/>
      <c r="D1964" s="61" t="s">
        <v>877</v>
      </c>
      <c r="E1964" s="340" t="s">
        <v>24</v>
      </c>
      <c r="F1964" s="331">
        <f>1.25+0.15+6.15+0.2+0.15+4+0.15+3.805+2.9+0.15+2.9</f>
        <v>21.805</v>
      </c>
      <c r="G1964" s="331">
        <v>1.5</v>
      </c>
      <c r="H1964" s="385">
        <f>G1964*F1964</f>
        <v>32.707499999999996</v>
      </c>
    </row>
    <row r="1965" spans="2:8" s="69" customFormat="1" ht="19.5" customHeight="1" x14ac:dyDescent="0.25">
      <c r="B1965" s="451"/>
      <c r="C1965" s="452"/>
      <c r="D1965" s="61" t="s">
        <v>878</v>
      </c>
      <c r="E1965" s="340" t="s">
        <v>24</v>
      </c>
      <c r="F1965" s="338">
        <v>3</v>
      </c>
      <c r="G1965" s="338">
        <v>0.15</v>
      </c>
      <c r="H1965" s="385">
        <f>-2*G1965*F1965</f>
        <v>-0.89999999999999991</v>
      </c>
    </row>
    <row r="1966" spans="2:8" s="69" customFormat="1" ht="19.5" customHeight="1" x14ac:dyDescent="0.25">
      <c r="B1966" s="451"/>
      <c r="C1966" s="452"/>
      <c r="D1966" s="87" t="s">
        <v>928</v>
      </c>
      <c r="E1966" s="340" t="s">
        <v>24</v>
      </c>
      <c r="F1966" s="66">
        <v>24.4</v>
      </c>
      <c r="G1966" s="66">
        <v>1.6</v>
      </c>
      <c r="H1966" s="407">
        <v>39.04</v>
      </c>
    </row>
    <row r="1967" spans="2:8" s="69" customFormat="1" ht="19.5" customHeight="1" x14ac:dyDescent="0.2">
      <c r="B1967" s="451"/>
      <c r="C1967" s="452"/>
      <c r="D1967" s="164" t="s">
        <v>929</v>
      </c>
      <c r="E1967" s="340" t="s">
        <v>24</v>
      </c>
      <c r="F1967" s="66">
        <v>2.5</v>
      </c>
      <c r="G1967" s="66">
        <v>0.9</v>
      </c>
      <c r="H1967" s="407">
        <v>-9</v>
      </c>
    </row>
    <row r="1968" spans="2:8" s="69" customFormat="1" ht="19.5" customHeight="1" x14ac:dyDescent="0.2">
      <c r="B1968" s="451"/>
      <c r="C1968" s="452"/>
      <c r="D1968" s="164" t="s">
        <v>930</v>
      </c>
      <c r="E1968" s="340" t="s">
        <v>24</v>
      </c>
      <c r="F1968" s="66">
        <v>0.8</v>
      </c>
      <c r="G1968" s="66">
        <v>0.6</v>
      </c>
      <c r="H1968" s="407">
        <v>-0.48</v>
      </c>
    </row>
    <row r="1969" spans="2:8" s="69" customFormat="1" ht="19.5" customHeight="1" x14ac:dyDescent="0.2">
      <c r="B1969" s="451"/>
      <c r="C1969" s="452"/>
      <c r="D1969" s="164" t="s">
        <v>436</v>
      </c>
      <c r="E1969" s="340" t="s">
        <v>24</v>
      </c>
      <c r="F1969" s="66">
        <v>11</v>
      </c>
      <c r="G1969" s="66">
        <v>1.6</v>
      </c>
      <c r="H1969" s="407">
        <v>17.600000000000001</v>
      </c>
    </row>
    <row r="1970" spans="2:8" s="69" customFormat="1" ht="19.5" customHeight="1" x14ac:dyDescent="0.2">
      <c r="B1970" s="451"/>
      <c r="C1970" s="452"/>
      <c r="D1970" s="164" t="s">
        <v>931</v>
      </c>
      <c r="E1970" s="340" t="s">
        <v>24</v>
      </c>
      <c r="F1970" s="66">
        <v>1.9</v>
      </c>
      <c r="G1970" s="66">
        <v>0.75</v>
      </c>
      <c r="H1970" s="407">
        <v>-1.4249999999999998</v>
      </c>
    </row>
    <row r="1971" spans="2:8" s="69" customFormat="1" ht="19.5" customHeight="1" x14ac:dyDescent="0.2">
      <c r="B1971" s="451"/>
      <c r="C1971" s="452"/>
      <c r="D1971" s="164" t="s">
        <v>930</v>
      </c>
      <c r="E1971" s="340" t="s">
        <v>24</v>
      </c>
      <c r="F1971" s="66">
        <v>0.8</v>
      </c>
      <c r="G1971" s="66">
        <v>0.6</v>
      </c>
      <c r="H1971" s="407">
        <v>-0.48</v>
      </c>
    </row>
    <row r="1972" spans="2:8" s="69" customFormat="1" ht="19.5" customHeight="1" x14ac:dyDescent="0.2">
      <c r="B1972" s="451"/>
      <c r="C1972" s="452"/>
      <c r="D1972" s="164" t="s">
        <v>437</v>
      </c>
      <c r="E1972" s="340" t="s">
        <v>24</v>
      </c>
      <c r="F1972" s="66">
        <v>12.7</v>
      </c>
      <c r="G1972" s="66">
        <v>1.6</v>
      </c>
      <c r="H1972" s="407">
        <v>20.32</v>
      </c>
    </row>
    <row r="1973" spans="2:8" s="69" customFormat="1" ht="19.5" customHeight="1" x14ac:dyDescent="0.2">
      <c r="B1973" s="451"/>
      <c r="C1973" s="452"/>
      <c r="D1973" s="164" t="s">
        <v>932</v>
      </c>
      <c r="E1973" s="340" t="s">
        <v>24</v>
      </c>
      <c r="F1973" s="66">
        <v>2.5</v>
      </c>
      <c r="G1973" s="66">
        <v>0.9</v>
      </c>
      <c r="H1973" s="407">
        <v>-2.25</v>
      </c>
    </row>
    <row r="1974" spans="2:8" s="69" customFormat="1" ht="19.5" customHeight="1" x14ac:dyDescent="0.2">
      <c r="B1974" s="451"/>
      <c r="C1974" s="452"/>
      <c r="D1974" s="164" t="s">
        <v>930</v>
      </c>
      <c r="E1974" s="340" t="s">
        <v>24</v>
      </c>
      <c r="F1974" s="66">
        <v>0.8</v>
      </c>
      <c r="G1974" s="66">
        <v>0.6</v>
      </c>
      <c r="H1974" s="407">
        <v>-0.48</v>
      </c>
    </row>
    <row r="1975" spans="2:8" s="69" customFormat="1" ht="19.5" customHeight="1" x14ac:dyDescent="0.2">
      <c r="B1975" s="451"/>
      <c r="C1975" s="452"/>
      <c r="D1975" s="164" t="s">
        <v>933</v>
      </c>
      <c r="E1975" s="340" t="s">
        <v>24</v>
      </c>
      <c r="F1975" s="66">
        <v>9.9499999999999993</v>
      </c>
      <c r="G1975" s="66">
        <v>1.6</v>
      </c>
      <c r="H1975" s="407">
        <v>15.92</v>
      </c>
    </row>
    <row r="1976" spans="2:8" s="69" customFormat="1" ht="19.5" customHeight="1" x14ac:dyDescent="0.2">
      <c r="B1976" s="451"/>
      <c r="C1976" s="452"/>
      <c r="D1976" s="164" t="s">
        <v>934</v>
      </c>
      <c r="E1976" s="340" t="s">
        <v>24</v>
      </c>
      <c r="F1976" s="66">
        <v>0.8</v>
      </c>
      <c r="G1976" s="66">
        <v>0.6</v>
      </c>
      <c r="H1976" s="407">
        <v>-2.4</v>
      </c>
    </row>
    <row r="1977" spans="2:8" s="69" customFormat="1" ht="19.5" customHeight="1" x14ac:dyDescent="0.2">
      <c r="B1977" s="451"/>
      <c r="C1977" s="452"/>
      <c r="D1977" s="164" t="s">
        <v>935</v>
      </c>
      <c r="E1977" s="340" t="s">
        <v>24</v>
      </c>
      <c r="F1977" s="66">
        <v>12.100000000000001</v>
      </c>
      <c r="G1977" s="66">
        <v>1.6</v>
      </c>
      <c r="H1977" s="407">
        <v>19.360000000000003</v>
      </c>
    </row>
    <row r="1978" spans="2:8" s="69" customFormat="1" ht="19.5" customHeight="1" x14ac:dyDescent="0.2">
      <c r="B1978" s="451"/>
      <c r="C1978" s="452"/>
      <c r="D1978" s="164" t="s">
        <v>936</v>
      </c>
      <c r="E1978" s="340" t="s">
        <v>24</v>
      </c>
      <c r="F1978" s="66">
        <v>0.8</v>
      </c>
      <c r="G1978" s="66">
        <v>0.6</v>
      </c>
      <c r="H1978" s="407">
        <v>-0.96</v>
      </c>
    </row>
    <row r="1979" spans="2:8" s="69" customFormat="1" ht="19.5" customHeight="1" x14ac:dyDescent="0.2">
      <c r="B1979" s="451"/>
      <c r="C1979" s="452"/>
      <c r="D1979" s="164" t="s">
        <v>937</v>
      </c>
      <c r="E1979" s="340" t="s">
        <v>24</v>
      </c>
      <c r="F1979" s="66">
        <v>1.62</v>
      </c>
      <c r="G1979" s="66">
        <v>0.6</v>
      </c>
      <c r="H1979" s="407">
        <v>-0.97199999999999998</v>
      </c>
    </row>
    <row r="1980" spans="2:8" s="69" customFormat="1" ht="19.5" customHeight="1" x14ac:dyDescent="0.2">
      <c r="B1980" s="451"/>
      <c r="C1980" s="452"/>
      <c r="D1980" s="164" t="s">
        <v>938</v>
      </c>
      <c r="E1980" s="340" t="s">
        <v>24</v>
      </c>
      <c r="F1980" s="66">
        <v>1.8</v>
      </c>
      <c r="G1980" s="66">
        <v>1</v>
      </c>
      <c r="H1980" s="407">
        <v>-1.8</v>
      </c>
    </row>
    <row r="1981" spans="2:8" s="69" customFormat="1" ht="19.5" customHeight="1" x14ac:dyDescent="0.2">
      <c r="B1981" s="451"/>
      <c r="C1981" s="452"/>
      <c r="D1981" s="164" t="s">
        <v>431</v>
      </c>
      <c r="E1981" s="340" t="s">
        <v>24</v>
      </c>
      <c r="F1981" s="66">
        <v>19.200000000000003</v>
      </c>
      <c r="G1981" s="66">
        <v>1.6</v>
      </c>
      <c r="H1981" s="407">
        <v>30.720000000000006</v>
      </c>
    </row>
    <row r="1982" spans="2:8" s="69" customFormat="1" ht="19.5" customHeight="1" x14ac:dyDescent="0.2">
      <c r="B1982" s="451"/>
      <c r="C1982" s="452"/>
      <c r="D1982" s="164" t="s">
        <v>932</v>
      </c>
      <c r="E1982" s="340" t="s">
        <v>24</v>
      </c>
      <c r="F1982" s="66">
        <v>2.5</v>
      </c>
      <c r="G1982" s="66">
        <v>0.9</v>
      </c>
      <c r="H1982" s="407">
        <v>-2.25</v>
      </c>
    </row>
    <row r="1983" spans="2:8" s="69" customFormat="1" ht="19.5" customHeight="1" x14ac:dyDescent="0.2">
      <c r="B1983" s="451"/>
      <c r="C1983" s="452"/>
      <c r="D1983" s="295" t="s">
        <v>936</v>
      </c>
      <c r="E1983" s="340" t="s">
        <v>24</v>
      </c>
      <c r="F1983" s="66">
        <v>0.8</v>
      </c>
      <c r="G1983" s="66">
        <v>0.6</v>
      </c>
      <c r="H1983" s="407">
        <v>-0.96</v>
      </c>
    </row>
    <row r="1984" spans="2:8" s="69" customFormat="1" ht="19.5" customHeight="1" x14ac:dyDescent="0.2">
      <c r="B1984" s="451"/>
      <c r="C1984" s="452"/>
      <c r="D1984" s="295" t="s">
        <v>440</v>
      </c>
      <c r="E1984" s="340" t="s">
        <v>24</v>
      </c>
      <c r="F1984" s="66">
        <v>25.400000000000002</v>
      </c>
      <c r="G1984" s="66">
        <v>2.1</v>
      </c>
      <c r="H1984" s="407">
        <v>53.34</v>
      </c>
    </row>
    <row r="1985" spans="2:8" s="69" customFormat="1" ht="19.5" customHeight="1" x14ac:dyDescent="0.2">
      <c r="B1985" s="453"/>
      <c r="C1985" s="454"/>
      <c r="D1985" s="295" t="s">
        <v>939</v>
      </c>
      <c r="E1985" s="340" t="s">
        <v>24</v>
      </c>
      <c r="F1985" s="66">
        <v>1.8</v>
      </c>
      <c r="G1985" s="66">
        <v>1.4</v>
      </c>
      <c r="H1985" s="407">
        <v>-5.04</v>
      </c>
    </row>
    <row r="1986" spans="2:8" s="69" customFormat="1" ht="19.5" customHeight="1" x14ac:dyDescent="0.2">
      <c r="B1986" s="422"/>
      <c r="C1986" s="287"/>
      <c r="D1986" s="295" t="s">
        <v>936</v>
      </c>
      <c r="E1986" s="340" t="s">
        <v>24</v>
      </c>
      <c r="F1986" s="66">
        <v>0.8</v>
      </c>
      <c r="G1986" s="66">
        <v>1.1000000000000001</v>
      </c>
      <c r="H1986" s="407">
        <v>1.7600000000000002</v>
      </c>
    </row>
    <row r="1987" spans="2:8" s="69" customFormat="1" ht="19.5" customHeight="1" x14ac:dyDescent="0.2">
      <c r="B1987" s="423"/>
      <c r="C1987" s="288"/>
      <c r="D1987" s="295" t="s">
        <v>441</v>
      </c>
      <c r="E1987" s="340" t="s">
        <v>24</v>
      </c>
      <c r="F1987" s="66">
        <v>25.400000000000002</v>
      </c>
      <c r="G1987" s="66">
        <v>2.1</v>
      </c>
      <c r="H1987" s="407">
        <v>53.34</v>
      </c>
    </row>
    <row r="1988" spans="2:8" s="69" customFormat="1" ht="19.5" customHeight="1" x14ac:dyDescent="0.2">
      <c r="B1988" s="423"/>
      <c r="C1988" s="288"/>
      <c r="D1988" s="295" t="s">
        <v>939</v>
      </c>
      <c r="E1988" s="340" t="s">
        <v>24</v>
      </c>
      <c r="F1988" s="66">
        <v>1.8</v>
      </c>
      <c r="G1988" s="66">
        <v>1.4</v>
      </c>
      <c r="H1988" s="407">
        <v>-5.04</v>
      </c>
    </row>
    <row r="1989" spans="2:8" s="69" customFormat="1" ht="19.5" customHeight="1" x14ac:dyDescent="0.2">
      <c r="B1989" s="423"/>
      <c r="C1989" s="288"/>
      <c r="D1989" s="295" t="s">
        <v>936</v>
      </c>
      <c r="E1989" s="340" t="s">
        <v>24</v>
      </c>
      <c r="F1989" s="66">
        <v>0.8</v>
      </c>
      <c r="G1989" s="66">
        <v>1.1000000000000001</v>
      </c>
      <c r="H1989" s="407">
        <v>1.7600000000000002</v>
      </c>
    </row>
    <row r="1990" spans="2:8" s="69" customFormat="1" ht="19.5" customHeight="1" x14ac:dyDescent="0.2">
      <c r="B1990" s="423"/>
      <c r="C1990" s="288"/>
      <c r="D1990" s="295" t="s">
        <v>761</v>
      </c>
      <c r="E1990" s="340" t="s">
        <v>24</v>
      </c>
      <c r="F1990" s="66">
        <v>20.7</v>
      </c>
      <c r="G1990" s="66">
        <v>1.6</v>
      </c>
      <c r="H1990" s="407">
        <v>33.119999999999997</v>
      </c>
    </row>
    <row r="1991" spans="2:8" s="69" customFormat="1" ht="19.5" customHeight="1" x14ac:dyDescent="0.2">
      <c r="B1991" s="423"/>
      <c r="C1991" s="288"/>
      <c r="D1991" s="295" t="s">
        <v>931</v>
      </c>
      <c r="E1991" s="340" t="s">
        <v>24</v>
      </c>
      <c r="F1991" s="66">
        <v>1.9</v>
      </c>
      <c r="G1991" s="66">
        <v>0.75</v>
      </c>
      <c r="H1991" s="407">
        <v>-1.4249999999999998</v>
      </c>
    </row>
    <row r="1992" spans="2:8" s="69" customFormat="1" ht="19.5" customHeight="1" x14ac:dyDescent="0.2">
      <c r="B1992" s="423"/>
      <c r="C1992" s="288"/>
      <c r="D1992" s="295" t="s">
        <v>936</v>
      </c>
      <c r="E1992" s="340" t="s">
        <v>24</v>
      </c>
      <c r="F1992" s="66">
        <v>0.8</v>
      </c>
      <c r="G1992" s="66">
        <v>0.6</v>
      </c>
      <c r="H1992" s="407">
        <v>-0.96</v>
      </c>
    </row>
    <row r="1993" spans="2:8" s="69" customFormat="1" ht="19.5" customHeight="1" x14ac:dyDescent="0.2">
      <c r="B1993" s="423"/>
      <c r="C1993" s="288"/>
      <c r="D1993" s="295" t="s">
        <v>940</v>
      </c>
      <c r="E1993" s="340" t="s">
        <v>24</v>
      </c>
      <c r="F1993" s="66">
        <v>78.760000000000005</v>
      </c>
      <c r="G1993" s="66">
        <v>1.6</v>
      </c>
      <c r="H1993" s="407">
        <v>126.01600000000002</v>
      </c>
    </row>
    <row r="1994" spans="2:8" s="69" customFormat="1" ht="19.5" customHeight="1" x14ac:dyDescent="0.2">
      <c r="B1994" s="423"/>
      <c r="C1994" s="288"/>
      <c r="D1994" s="295" t="s">
        <v>941</v>
      </c>
      <c r="E1994" s="340" t="s">
        <v>24</v>
      </c>
      <c r="F1994" s="66">
        <v>2.5</v>
      </c>
      <c r="G1994" s="66">
        <v>0.9</v>
      </c>
      <c r="H1994" s="407">
        <v>-13.5</v>
      </c>
    </row>
    <row r="1995" spans="2:8" s="69" customFormat="1" ht="19.5" customHeight="1" x14ac:dyDescent="0.2">
      <c r="B1995" s="423"/>
      <c r="C1995" s="288"/>
      <c r="D1995" s="295" t="s">
        <v>943</v>
      </c>
      <c r="E1995" s="340" t="s">
        <v>24</v>
      </c>
      <c r="F1995" s="66">
        <v>1.8</v>
      </c>
      <c r="G1995" s="66">
        <v>0.9</v>
      </c>
      <c r="H1995" s="407">
        <v>-6.48</v>
      </c>
    </row>
    <row r="1996" spans="2:8" s="69" customFormat="1" ht="19.5" customHeight="1" x14ac:dyDescent="0.2">
      <c r="B1996" s="423"/>
      <c r="C1996" s="288"/>
      <c r="D1996" s="295" t="s">
        <v>936</v>
      </c>
      <c r="E1996" s="340" t="s">
        <v>24</v>
      </c>
      <c r="F1996" s="66">
        <v>0.8</v>
      </c>
      <c r="G1996" s="66">
        <v>0.6</v>
      </c>
      <c r="H1996" s="407">
        <v>-0.96</v>
      </c>
    </row>
    <row r="1997" spans="2:8" s="69" customFormat="1" ht="19.5" customHeight="1" x14ac:dyDescent="0.2">
      <c r="B1997" s="423"/>
      <c r="C1997" s="288"/>
      <c r="D1997" s="295" t="s">
        <v>937</v>
      </c>
      <c r="E1997" s="340" t="s">
        <v>24</v>
      </c>
      <c r="F1997" s="66">
        <v>1.6</v>
      </c>
      <c r="G1997" s="66">
        <v>0.6</v>
      </c>
      <c r="H1997" s="407">
        <v>-0.96</v>
      </c>
    </row>
    <row r="1998" spans="2:8" s="69" customFormat="1" ht="19.5" customHeight="1" x14ac:dyDescent="0.25">
      <c r="B1998" s="423"/>
      <c r="C1998" s="288"/>
      <c r="D1998" s="290" t="s">
        <v>1037</v>
      </c>
      <c r="E1998" s="340" t="s">
        <v>24</v>
      </c>
      <c r="F1998" s="66">
        <f>7.92+7.92</f>
        <v>15.84</v>
      </c>
      <c r="G1998" s="66">
        <v>1.5</v>
      </c>
      <c r="H1998" s="407">
        <f>F1998*G1998</f>
        <v>23.759999999999998</v>
      </c>
    </row>
    <row r="1999" spans="2:8" s="69" customFormat="1" ht="19.5" customHeight="1" x14ac:dyDescent="0.25">
      <c r="B1999" s="423"/>
      <c r="C1999" s="288"/>
      <c r="D1999" s="290" t="s">
        <v>1038</v>
      </c>
      <c r="E1999" s="340" t="s">
        <v>24</v>
      </c>
      <c r="F1999" s="66">
        <f>8.4+8.4</f>
        <v>16.8</v>
      </c>
      <c r="G1999" s="66">
        <v>1.5</v>
      </c>
      <c r="H1999" s="407">
        <f>F1999*G1999</f>
        <v>25.200000000000003</v>
      </c>
    </row>
    <row r="2000" spans="2:8" s="69" customFormat="1" ht="19.5" customHeight="1" x14ac:dyDescent="0.25">
      <c r="B2000" s="423"/>
      <c r="C2000" s="288"/>
      <c r="D2000" s="290" t="s">
        <v>1039</v>
      </c>
      <c r="E2000" s="340" t="s">
        <v>24</v>
      </c>
      <c r="F2000" s="66">
        <f>8.08+8.14</f>
        <v>16.22</v>
      </c>
      <c r="G2000" s="66">
        <v>1.5</v>
      </c>
      <c r="H2000" s="407">
        <f t="shared" ref="H2000:H2001" si="126">F2000*G2000</f>
        <v>24.33</v>
      </c>
    </row>
    <row r="2001" spans="2:8" s="69" customFormat="1" ht="19.5" customHeight="1" x14ac:dyDescent="0.25">
      <c r="B2001" s="423"/>
      <c r="C2001" s="288"/>
      <c r="D2001" s="290" t="s">
        <v>1040</v>
      </c>
      <c r="E2001" s="340" t="s">
        <v>24</v>
      </c>
      <c r="F2001" s="66">
        <f>3.04+0.15+3.04+0.18+6.35+0.15</f>
        <v>12.91</v>
      </c>
      <c r="G2001" s="66">
        <v>1.5</v>
      </c>
      <c r="H2001" s="407">
        <f t="shared" si="126"/>
        <v>19.365000000000002</v>
      </c>
    </row>
    <row r="2002" spans="2:8" s="69" customFormat="1" ht="19.5" customHeight="1" x14ac:dyDescent="0.25">
      <c r="B2002" s="423"/>
      <c r="C2002" s="288"/>
      <c r="D2002" s="290" t="s">
        <v>1041</v>
      </c>
      <c r="E2002" s="340" t="s">
        <v>24</v>
      </c>
      <c r="F2002" s="340">
        <f>8.25+7.2+8.25+7.2</f>
        <v>30.9</v>
      </c>
      <c r="G2002" s="66">
        <v>1.5</v>
      </c>
      <c r="H2002" s="407">
        <f>F2002*G2002</f>
        <v>46.349999999999994</v>
      </c>
    </row>
    <row r="2003" spans="2:8" s="69" customFormat="1" ht="19.5" customHeight="1" x14ac:dyDescent="0.25">
      <c r="B2003" s="423"/>
      <c r="C2003" s="288"/>
      <c r="D2003" s="290" t="s">
        <v>1042</v>
      </c>
      <c r="E2003" s="340" t="s">
        <v>24</v>
      </c>
      <c r="F2003" s="340">
        <v>78.760000000000005</v>
      </c>
      <c r="G2003" s="66">
        <v>1.5</v>
      </c>
      <c r="H2003" s="407">
        <f>F2003*G2003</f>
        <v>118.14000000000001</v>
      </c>
    </row>
    <row r="2004" spans="2:8" s="69" customFormat="1" ht="19.5" customHeight="1" x14ac:dyDescent="0.25">
      <c r="B2004" s="423"/>
      <c r="C2004" s="288"/>
      <c r="D2004" s="290" t="s">
        <v>1043</v>
      </c>
      <c r="E2004" s="340" t="s">
        <v>24</v>
      </c>
      <c r="F2004" s="340">
        <f>3.98*2+6.65+6.9*2+6.35+10*2</f>
        <v>54.76</v>
      </c>
      <c r="G2004" s="66">
        <v>1.5</v>
      </c>
      <c r="H2004" s="407">
        <f>F2004*G2004</f>
        <v>82.14</v>
      </c>
    </row>
    <row r="2005" spans="2:8" s="69" customFormat="1" ht="19.5" customHeight="1" x14ac:dyDescent="0.25">
      <c r="B2005" s="423"/>
      <c r="C2005" s="288"/>
      <c r="D2005" s="291" t="s">
        <v>1044</v>
      </c>
      <c r="E2005" s="158" t="s">
        <v>24</v>
      </c>
      <c r="F2005" s="159" t="s">
        <v>26</v>
      </c>
      <c r="G2005" s="159" t="s">
        <v>31</v>
      </c>
      <c r="H2005" s="397">
        <f>SUM(H2006:H2031)</f>
        <v>404.44430000000006</v>
      </c>
    </row>
    <row r="2006" spans="2:8" s="69" customFormat="1" ht="19.5" customHeight="1" x14ac:dyDescent="0.25">
      <c r="B2006" s="423"/>
      <c r="C2006" s="288"/>
      <c r="D2006" s="290" t="s">
        <v>1045</v>
      </c>
      <c r="E2006" s="340" t="s">
        <v>24</v>
      </c>
      <c r="F2006" s="340">
        <f>0.15+7.59+0.18</f>
        <v>7.92</v>
      </c>
      <c r="G2006" s="66">
        <v>1.5</v>
      </c>
      <c r="H2006" s="407">
        <f>F2006*G2006</f>
        <v>11.879999999999999</v>
      </c>
    </row>
    <row r="2007" spans="2:8" s="69" customFormat="1" ht="19.5" customHeight="1" x14ac:dyDescent="0.25">
      <c r="B2007" s="423"/>
      <c r="C2007" s="288"/>
      <c r="D2007" s="290" t="s">
        <v>1046</v>
      </c>
      <c r="E2007" s="340" t="s">
        <v>24</v>
      </c>
      <c r="F2007" s="340">
        <f>8.4+0.18</f>
        <v>8.58</v>
      </c>
      <c r="G2007" s="66">
        <v>1.5</v>
      </c>
      <c r="H2007" s="407">
        <f t="shared" ref="H2007:H2027" si="127">F2007*G2007</f>
        <v>12.870000000000001</v>
      </c>
    </row>
    <row r="2008" spans="2:8" s="69" customFormat="1" ht="19.5" customHeight="1" x14ac:dyDescent="0.25">
      <c r="B2008" s="423"/>
      <c r="C2008" s="288"/>
      <c r="D2008" s="290" t="s">
        <v>1047</v>
      </c>
      <c r="E2008" s="340" t="s">
        <v>24</v>
      </c>
      <c r="F2008" s="340">
        <f>0.18+8.14</f>
        <v>8.32</v>
      </c>
      <c r="G2008" s="66">
        <v>1.5</v>
      </c>
      <c r="H2008" s="407">
        <f t="shared" si="127"/>
        <v>12.48</v>
      </c>
    </row>
    <row r="2009" spans="2:8" s="69" customFormat="1" ht="19.5" customHeight="1" x14ac:dyDescent="0.25">
      <c r="B2009" s="423"/>
      <c r="C2009" s="288"/>
      <c r="D2009" s="290" t="s">
        <v>1048</v>
      </c>
      <c r="E2009" s="340" t="s">
        <v>24</v>
      </c>
      <c r="F2009" s="340">
        <f>0.15+7.59+0.18</f>
        <v>7.92</v>
      </c>
      <c r="G2009" s="66">
        <v>1.72</v>
      </c>
      <c r="H2009" s="407">
        <f t="shared" si="127"/>
        <v>13.622399999999999</v>
      </c>
    </row>
    <row r="2010" spans="2:8" s="69" customFormat="1" ht="19.5" customHeight="1" x14ac:dyDescent="0.25">
      <c r="B2010" s="423"/>
      <c r="C2010" s="288"/>
      <c r="D2010" s="290" t="s">
        <v>1049</v>
      </c>
      <c r="E2010" s="340" t="s">
        <v>24</v>
      </c>
      <c r="F2010" s="340">
        <f>8.4+0.18</f>
        <v>8.58</v>
      </c>
      <c r="G2010" s="66">
        <v>1.72</v>
      </c>
      <c r="H2010" s="407">
        <f t="shared" si="127"/>
        <v>14.7576</v>
      </c>
    </row>
    <row r="2011" spans="2:8" s="69" customFormat="1" ht="19.5" customHeight="1" x14ac:dyDescent="0.25">
      <c r="B2011" s="423"/>
      <c r="C2011" s="288"/>
      <c r="D2011" s="290" t="s">
        <v>1050</v>
      </c>
      <c r="E2011" s="340" t="s">
        <v>24</v>
      </c>
      <c r="F2011" s="340">
        <f>0.18+8.14</f>
        <v>8.32</v>
      </c>
      <c r="G2011" s="66">
        <v>1.72</v>
      </c>
      <c r="H2011" s="407">
        <f t="shared" si="127"/>
        <v>14.3104</v>
      </c>
    </row>
    <row r="2012" spans="2:8" s="69" customFormat="1" ht="19.5" customHeight="1" x14ac:dyDescent="0.25">
      <c r="B2012" s="423"/>
      <c r="C2012" s="288"/>
      <c r="D2012" s="290" t="s">
        <v>1051</v>
      </c>
      <c r="E2012" s="340" t="s">
        <v>24</v>
      </c>
      <c r="F2012" s="340">
        <f>6.4+6.5</f>
        <v>12.9</v>
      </c>
      <c r="G2012" s="66">
        <v>1.72</v>
      </c>
      <c r="H2012" s="407">
        <f t="shared" si="127"/>
        <v>22.187999999999999</v>
      </c>
    </row>
    <row r="2013" spans="2:8" s="69" customFormat="1" ht="19.5" customHeight="1" x14ac:dyDescent="0.25">
      <c r="B2013" s="423"/>
      <c r="C2013" s="288"/>
      <c r="D2013" s="290" t="s">
        <v>441</v>
      </c>
      <c r="E2013" s="340" t="s">
        <v>24</v>
      </c>
      <c r="F2013" s="340">
        <v>5.64</v>
      </c>
      <c r="G2013" s="66">
        <v>7.05</v>
      </c>
      <c r="H2013" s="407">
        <f t="shared" si="127"/>
        <v>39.761999999999993</v>
      </c>
    </row>
    <row r="2014" spans="2:8" s="69" customFormat="1" ht="19.5" customHeight="1" x14ac:dyDescent="0.25">
      <c r="B2014" s="423"/>
      <c r="C2014" s="288"/>
      <c r="D2014" s="290" t="s">
        <v>1063</v>
      </c>
      <c r="E2014" s="340" t="s">
        <v>24</v>
      </c>
      <c r="F2014" s="340">
        <v>3.3</v>
      </c>
      <c r="G2014" s="66">
        <v>7.05</v>
      </c>
      <c r="H2014" s="407">
        <f t="shared" si="127"/>
        <v>23.264999999999997</v>
      </c>
    </row>
    <row r="2015" spans="2:8" s="69" customFormat="1" ht="19.5" customHeight="1" x14ac:dyDescent="0.25">
      <c r="B2015" s="423"/>
      <c r="C2015" s="288"/>
      <c r="D2015" s="290" t="s">
        <v>440</v>
      </c>
      <c r="E2015" s="340" t="s">
        <v>24</v>
      </c>
      <c r="F2015" s="340">
        <v>5.64</v>
      </c>
      <c r="G2015" s="66">
        <v>7.05</v>
      </c>
      <c r="H2015" s="407">
        <f t="shared" si="127"/>
        <v>39.761999999999993</v>
      </c>
    </row>
    <row r="2016" spans="2:8" s="69" customFormat="1" ht="19.5" customHeight="1" x14ac:dyDescent="0.25">
      <c r="B2016" s="423"/>
      <c r="C2016" s="288"/>
      <c r="D2016" s="290" t="s">
        <v>1064</v>
      </c>
      <c r="E2016" s="340" t="s">
        <v>24</v>
      </c>
      <c r="F2016" s="340">
        <v>1.3</v>
      </c>
      <c r="G2016" s="66">
        <v>1.35</v>
      </c>
      <c r="H2016" s="407">
        <f t="shared" si="127"/>
        <v>1.7550000000000001</v>
      </c>
    </row>
    <row r="2017" spans="2:8" s="69" customFormat="1" ht="19.5" customHeight="1" x14ac:dyDescent="0.25">
      <c r="B2017" s="423"/>
      <c r="C2017" s="288"/>
      <c r="D2017" s="290" t="s">
        <v>1065</v>
      </c>
      <c r="E2017" s="340" t="s">
        <v>24</v>
      </c>
      <c r="F2017" s="340">
        <v>1.3</v>
      </c>
      <c r="G2017" s="66">
        <v>1.35</v>
      </c>
      <c r="H2017" s="407">
        <f t="shared" si="127"/>
        <v>1.7550000000000001</v>
      </c>
    </row>
    <row r="2018" spans="2:8" s="69" customFormat="1" ht="19.5" customHeight="1" x14ac:dyDescent="0.25">
      <c r="B2018" s="423"/>
      <c r="C2018" s="288"/>
      <c r="D2018" s="290" t="s">
        <v>1066</v>
      </c>
      <c r="E2018" s="340" t="s">
        <v>24</v>
      </c>
      <c r="F2018" s="340">
        <v>5.55</v>
      </c>
      <c r="G2018" s="66">
        <v>2.75</v>
      </c>
      <c r="H2018" s="407">
        <f t="shared" si="127"/>
        <v>15.262499999999999</v>
      </c>
    </row>
    <row r="2019" spans="2:8" s="69" customFormat="1" ht="19.5" customHeight="1" x14ac:dyDescent="0.25">
      <c r="B2019" s="423"/>
      <c r="C2019" s="288"/>
      <c r="D2019" s="290" t="s">
        <v>1067</v>
      </c>
      <c r="E2019" s="340" t="s">
        <v>24</v>
      </c>
      <c r="F2019" s="340">
        <v>3.55</v>
      </c>
      <c r="G2019" s="66">
        <v>1.3</v>
      </c>
      <c r="H2019" s="407">
        <f t="shared" si="127"/>
        <v>4.6150000000000002</v>
      </c>
    </row>
    <row r="2020" spans="2:8" s="69" customFormat="1" ht="19.5" customHeight="1" x14ac:dyDescent="0.25">
      <c r="B2020" s="423"/>
      <c r="C2020" s="288"/>
      <c r="D2020" s="290" t="s">
        <v>433</v>
      </c>
      <c r="E2020" s="340" t="s">
        <v>24</v>
      </c>
      <c r="F2020" s="340">
        <v>3.45</v>
      </c>
      <c r="G2020" s="66">
        <v>3.45</v>
      </c>
      <c r="H2020" s="407">
        <f t="shared" si="127"/>
        <v>11.902500000000002</v>
      </c>
    </row>
    <row r="2021" spans="2:8" s="69" customFormat="1" ht="19.5" customHeight="1" x14ac:dyDescent="0.25">
      <c r="B2021" s="423"/>
      <c r="C2021" s="288"/>
      <c r="D2021" s="290" t="s">
        <v>935</v>
      </c>
      <c r="E2021" s="340" t="s">
        <v>24</v>
      </c>
      <c r="F2021" s="340">
        <v>3.45</v>
      </c>
      <c r="G2021" s="66">
        <v>3.45</v>
      </c>
      <c r="H2021" s="407">
        <f t="shared" si="127"/>
        <v>11.902500000000002</v>
      </c>
    </row>
    <row r="2022" spans="2:8" s="69" customFormat="1" ht="19.5" customHeight="1" x14ac:dyDescent="0.25">
      <c r="B2022" s="423"/>
      <c r="C2022" s="288"/>
      <c r="D2022" s="290" t="s">
        <v>1068</v>
      </c>
      <c r="E2022" s="340" t="s">
        <v>24</v>
      </c>
      <c r="F2022" s="340">
        <v>2</v>
      </c>
      <c r="G2022" s="66">
        <v>1.7</v>
      </c>
      <c r="H2022" s="407">
        <f t="shared" si="127"/>
        <v>3.4</v>
      </c>
    </row>
    <row r="2023" spans="2:8" s="69" customFormat="1" ht="19.5" customHeight="1" x14ac:dyDescent="0.25">
      <c r="B2023" s="423"/>
      <c r="C2023" s="288"/>
      <c r="D2023" s="290" t="s">
        <v>1069</v>
      </c>
      <c r="E2023" s="340" t="s">
        <v>24</v>
      </c>
      <c r="F2023" s="340">
        <v>2</v>
      </c>
      <c r="G2023" s="66">
        <v>1.7</v>
      </c>
      <c r="H2023" s="407">
        <f t="shared" si="127"/>
        <v>3.4</v>
      </c>
    </row>
    <row r="2024" spans="2:8" s="69" customFormat="1" ht="19.5" customHeight="1" x14ac:dyDescent="0.25">
      <c r="B2024" s="423"/>
      <c r="C2024" s="288"/>
      <c r="D2024" s="290" t="s">
        <v>933</v>
      </c>
      <c r="E2024" s="340" t="s">
        <v>24</v>
      </c>
      <c r="F2024" s="340">
        <v>1.6</v>
      </c>
      <c r="G2024" s="66">
        <v>4.4000000000000004</v>
      </c>
      <c r="H2024" s="407">
        <f t="shared" si="127"/>
        <v>7.0400000000000009</v>
      </c>
    </row>
    <row r="2025" spans="2:8" s="69" customFormat="1" ht="19.5" customHeight="1" x14ac:dyDescent="0.25">
      <c r="B2025" s="423"/>
      <c r="C2025" s="288"/>
      <c r="D2025" s="290" t="s">
        <v>437</v>
      </c>
      <c r="E2025" s="340" t="s">
        <v>24</v>
      </c>
      <c r="F2025" s="340">
        <v>3.6</v>
      </c>
      <c r="G2025" s="66">
        <v>2.75</v>
      </c>
      <c r="H2025" s="407">
        <f t="shared" si="127"/>
        <v>9.9</v>
      </c>
    </row>
    <row r="2026" spans="2:8" s="69" customFormat="1" ht="19.5" customHeight="1" x14ac:dyDescent="0.25">
      <c r="B2026" s="423"/>
      <c r="C2026" s="288"/>
      <c r="D2026" s="290" t="s">
        <v>436</v>
      </c>
      <c r="E2026" s="340" t="s">
        <v>24</v>
      </c>
      <c r="F2026" s="340">
        <v>2.2000000000000002</v>
      </c>
      <c r="G2026" s="66">
        <v>2.8</v>
      </c>
      <c r="H2026" s="407">
        <f t="shared" si="127"/>
        <v>6.16</v>
      </c>
    </row>
    <row r="2027" spans="2:8" s="69" customFormat="1" ht="19.5" customHeight="1" x14ac:dyDescent="0.25">
      <c r="B2027" s="423"/>
      <c r="C2027" s="288"/>
      <c r="D2027" s="290" t="s">
        <v>397</v>
      </c>
      <c r="E2027" s="340" t="s">
        <v>24</v>
      </c>
      <c r="F2027" s="340">
        <v>7.11</v>
      </c>
      <c r="G2027" s="66">
        <v>4.1500000000000004</v>
      </c>
      <c r="H2027" s="407">
        <f t="shared" si="127"/>
        <v>29.506500000000003</v>
      </c>
    </row>
    <row r="2028" spans="2:8" s="69" customFormat="1" ht="19.5" customHeight="1" x14ac:dyDescent="0.25">
      <c r="B2028" s="423"/>
      <c r="C2028" s="288"/>
      <c r="D2028" s="273" t="s">
        <v>833</v>
      </c>
      <c r="E2028" s="340" t="s">
        <v>24</v>
      </c>
      <c r="F2028" s="331">
        <v>7.95</v>
      </c>
      <c r="G2028" s="331">
        <v>6.9</v>
      </c>
      <c r="H2028" s="385">
        <f>G2028*F2028</f>
        <v>54.855000000000004</v>
      </c>
    </row>
    <row r="2029" spans="2:8" s="69" customFormat="1" ht="19.5" customHeight="1" x14ac:dyDescent="0.25">
      <c r="B2029" s="423"/>
      <c r="C2029" s="288"/>
      <c r="D2029" s="273" t="s">
        <v>834</v>
      </c>
      <c r="E2029" s="340" t="s">
        <v>24</v>
      </c>
      <c r="F2029" s="331">
        <v>3.03</v>
      </c>
      <c r="G2029" s="331">
        <v>4.16</v>
      </c>
      <c r="H2029" s="385">
        <f t="shared" ref="H2029:H2031" si="128">G2029*F2029</f>
        <v>12.604799999999999</v>
      </c>
    </row>
    <row r="2030" spans="2:8" s="69" customFormat="1" ht="19.5" customHeight="1" x14ac:dyDescent="0.25">
      <c r="B2030" s="424"/>
      <c r="C2030" s="289"/>
      <c r="D2030" s="273" t="s">
        <v>835</v>
      </c>
      <c r="E2030" s="340" t="s">
        <v>24</v>
      </c>
      <c r="F2030" s="331">
        <v>3.05</v>
      </c>
      <c r="G2030" s="331">
        <v>6.35</v>
      </c>
      <c r="H2030" s="385">
        <f t="shared" si="128"/>
        <v>19.367499999999996</v>
      </c>
    </row>
    <row r="2031" spans="2:8" s="69" customFormat="1" ht="19.5" customHeight="1" x14ac:dyDescent="0.25">
      <c r="B2031" s="422"/>
      <c r="C2031" s="287"/>
      <c r="D2031" s="273" t="s">
        <v>836</v>
      </c>
      <c r="E2031" s="340" t="s">
        <v>24</v>
      </c>
      <c r="F2031" s="331">
        <v>3.03</v>
      </c>
      <c r="G2031" s="331">
        <v>2.02</v>
      </c>
      <c r="H2031" s="385">
        <f t="shared" si="128"/>
        <v>6.1205999999999996</v>
      </c>
    </row>
    <row r="2032" spans="2:8" s="69" customFormat="1" ht="19.5" customHeight="1" x14ac:dyDescent="0.25">
      <c r="B2032" s="423"/>
      <c r="C2032" s="288"/>
      <c r="D2032" s="291" t="s">
        <v>973</v>
      </c>
      <c r="E2032" s="158" t="s">
        <v>24</v>
      </c>
      <c r="F2032" s="159" t="s">
        <v>26</v>
      </c>
      <c r="G2032" s="159" t="s">
        <v>31</v>
      </c>
      <c r="H2032" s="397">
        <f>SUM(H2033:H2036)</f>
        <v>919.5</v>
      </c>
    </row>
    <row r="2033" spans="2:8" s="69" customFormat="1" ht="19.5" customHeight="1" x14ac:dyDescent="0.25">
      <c r="B2033" s="423"/>
      <c r="C2033" s="288"/>
      <c r="D2033" s="292" t="s">
        <v>970</v>
      </c>
      <c r="E2033" s="340" t="s">
        <v>24</v>
      </c>
      <c r="F2033" s="331">
        <v>51.7</v>
      </c>
      <c r="G2033" s="331">
        <v>3</v>
      </c>
      <c r="H2033" s="402">
        <f>F2033*G2033*2</f>
        <v>310.20000000000005</v>
      </c>
    </row>
    <row r="2034" spans="2:8" s="69" customFormat="1" ht="19.5" customHeight="1" x14ac:dyDescent="0.25">
      <c r="B2034" s="423"/>
      <c r="C2034" s="288"/>
      <c r="D2034" s="292" t="s">
        <v>972</v>
      </c>
      <c r="E2034" s="340" t="s">
        <v>24</v>
      </c>
      <c r="F2034" s="331">
        <v>49.85</v>
      </c>
      <c r="G2034" s="331">
        <v>3</v>
      </c>
      <c r="H2034" s="402">
        <f>F2034*G2034</f>
        <v>149.55000000000001</v>
      </c>
    </row>
    <row r="2035" spans="2:8" s="69" customFormat="1" ht="19.5" customHeight="1" x14ac:dyDescent="0.25">
      <c r="B2035" s="423"/>
      <c r="C2035" s="288"/>
      <c r="D2035" s="292" t="s">
        <v>971</v>
      </c>
      <c r="E2035" s="340" t="s">
        <v>24</v>
      </c>
      <c r="F2035" s="331">
        <v>51.7</v>
      </c>
      <c r="G2035" s="331">
        <v>3</v>
      </c>
      <c r="H2035" s="402">
        <f>F2035*G2035*2</f>
        <v>310.20000000000005</v>
      </c>
    </row>
    <row r="2036" spans="2:8" s="69" customFormat="1" ht="19.5" customHeight="1" x14ac:dyDescent="0.25">
      <c r="B2036" s="424"/>
      <c r="C2036" s="289"/>
      <c r="D2036" s="292" t="s">
        <v>972</v>
      </c>
      <c r="E2036" s="340" t="s">
        <v>24</v>
      </c>
      <c r="F2036" s="331">
        <v>49.85</v>
      </c>
      <c r="G2036" s="331">
        <v>3</v>
      </c>
      <c r="H2036" s="402">
        <f>F2036*G2036</f>
        <v>149.55000000000001</v>
      </c>
    </row>
    <row r="2037" spans="2:8" s="69" customFormat="1" ht="19.5" customHeight="1" x14ac:dyDescent="0.25">
      <c r="B2037" s="394" t="s">
        <v>993</v>
      </c>
      <c r="C2037" s="179">
        <v>261304</v>
      </c>
      <c r="D2037" s="77" t="s">
        <v>775</v>
      </c>
      <c r="E2037" s="75" t="s">
        <v>24</v>
      </c>
      <c r="F2037" s="342" t="s">
        <v>26</v>
      </c>
      <c r="G2037" s="342" t="s">
        <v>31</v>
      </c>
      <c r="H2037" s="387">
        <f>SUM(H2038:H2105)</f>
        <v>900.16050000000018</v>
      </c>
    </row>
    <row r="2038" spans="2:8" s="69" customFormat="1" ht="19.5" customHeight="1" x14ac:dyDescent="0.25">
      <c r="B2038" s="422"/>
      <c r="C2038" s="287"/>
      <c r="D2038" s="61" t="s">
        <v>772</v>
      </c>
      <c r="E2038" s="340" t="s">
        <v>24</v>
      </c>
      <c r="F2038" s="338">
        <v>22.38</v>
      </c>
      <c r="G2038" s="338">
        <v>3</v>
      </c>
      <c r="H2038" s="385">
        <f>G2038*F2038</f>
        <v>67.14</v>
      </c>
    </row>
    <row r="2039" spans="2:8" s="69" customFormat="1" ht="19.5" customHeight="1" x14ac:dyDescent="0.25">
      <c r="B2039" s="423"/>
      <c r="C2039" s="288"/>
      <c r="D2039" s="61" t="s">
        <v>773</v>
      </c>
      <c r="E2039" s="340" t="s">
        <v>24</v>
      </c>
      <c r="F2039" s="331">
        <v>1</v>
      </c>
      <c r="G2039" s="331">
        <v>2.1</v>
      </c>
      <c r="H2039" s="385">
        <f>-G2039*F2039</f>
        <v>-2.1</v>
      </c>
    </row>
    <row r="2040" spans="2:8" s="69" customFormat="1" ht="19.5" customHeight="1" x14ac:dyDescent="0.25">
      <c r="B2040" s="423"/>
      <c r="C2040" s="288"/>
      <c r="D2040" s="61" t="s">
        <v>766</v>
      </c>
      <c r="E2040" s="340" t="s">
        <v>24</v>
      </c>
      <c r="F2040" s="331">
        <v>1.8</v>
      </c>
      <c r="G2040" s="331">
        <v>1.4</v>
      </c>
      <c r="H2040" s="385">
        <f>-4*G2040*F2040</f>
        <v>-10.08</v>
      </c>
    </row>
    <row r="2041" spans="2:8" s="69" customFormat="1" ht="19.5" customHeight="1" x14ac:dyDescent="0.25">
      <c r="B2041" s="423"/>
      <c r="C2041" s="288"/>
      <c r="D2041" s="61" t="s">
        <v>788</v>
      </c>
      <c r="E2041" s="340" t="s">
        <v>24</v>
      </c>
      <c r="F2041" s="338">
        <f>3.33*2+0.3</f>
        <v>6.96</v>
      </c>
      <c r="G2041" s="338">
        <v>3</v>
      </c>
      <c r="H2041" s="385">
        <f>G2041*F2041</f>
        <v>20.88</v>
      </c>
    </row>
    <row r="2042" spans="2:8" s="69" customFormat="1" ht="19.5" customHeight="1" x14ac:dyDescent="0.25">
      <c r="B2042" s="423"/>
      <c r="C2042" s="288"/>
      <c r="D2042" s="61" t="s">
        <v>777</v>
      </c>
      <c r="E2042" s="340" t="s">
        <v>24</v>
      </c>
      <c r="F2042" s="338">
        <v>1.8</v>
      </c>
      <c r="G2042" s="338">
        <v>1.4</v>
      </c>
      <c r="H2042" s="385">
        <f>-G2042*F2042</f>
        <v>-2.52</v>
      </c>
    </row>
    <row r="2043" spans="2:8" s="69" customFormat="1" ht="19.5" customHeight="1" x14ac:dyDescent="0.25">
      <c r="B2043" s="423"/>
      <c r="C2043" s="288"/>
      <c r="D2043" s="61" t="s">
        <v>778</v>
      </c>
      <c r="E2043" s="340" t="s">
        <v>24</v>
      </c>
      <c r="F2043" s="338">
        <v>1.9</v>
      </c>
      <c r="G2043" s="338">
        <v>0.75</v>
      </c>
      <c r="H2043" s="385">
        <f>-G2043*F2043</f>
        <v>-1.4249999999999998</v>
      </c>
    </row>
    <row r="2044" spans="2:8" s="69" customFormat="1" ht="19.5" customHeight="1" x14ac:dyDescent="0.25">
      <c r="B2044" s="423"/>
      <c r="C2044" s="288"/>
      <c r="D2044" s="61" t="s">
        <v>791</v>
      </c>
      <c r="E2044" s="340" t="s">
        <v>24</v>
      </c>
      <c r="F2044" s="338">
        <f>3.3+3.3+0.3</f>
        <v>6.8999999999999995</v>
      </c>
      <c r="G2044" s="338">
        <v>3</v>
      </c>
      <c r="H2044" s="385">
        <f>G2044*F2044</f>
        <v>20.7</v>
      </c>
    </row>
    <row r="2045" spans="2:8" s="69" customFormat="1" ht="19.5" customHeight="1" x14ac:dyDescent="0.25">
      <c r="B2045" s="423"/>
      <c r="C2045" s="288"/>
      <c r="D2045" s="61" t="s">
        <v>777</v>
      </c>
      <c r="E2045" s="340" t="s">
        <v>24</v>
      </c>
      <c r="F2045" s="338">
        <v>1.8</v>
      </c>
      <c r="G2045" s="338">
        <v>1.4</v>
      </c>
      <c r="H2045" s="385">
        <f>-G2045*F2045</f>
        <v>-2.52</v>
      </c>
    </row>
    <row r="2046" spans="2:8" s="69" customFormat="1" ht="19.5" customHeight="1" x14ac:dyDescent="0.25">
      <c r="B2046" s="423"/>
      <c r="C2046" s="288"/>
      <c r="D2046" s="61" t="s">
        <v>778</v>
      </c>
      <c r="E2046" s="340" t="s">
        <v>24</v>
      </c>
      <c r="F2046" s="338">
        <v>1.9</v>
      </c>
      <c r="G2046" s="338">
        <v>0.75</v>
      </c>
      <c r="H2046" s="385">
        <f>-G2046*F2046</f>
        <v>-1.4249999999999998</v>
      </c>
    </row>
    <row r="2047" spans="2:8" s="69" customFormat="1" ht="19.5" customHeight="1" x14ac:dyDescent="0.25">
      <c r="B2047" s="423"/>
      <c r="C2047" s="288"/>
      <c r="D2047" s="61" t="s">
        <v>793</v>
      </c>
      <c r="E2047" s="340" t="s">
        <v>24</v>
      </c>
      <c r="F2047" s="338">
        <v>12.84</v>
      </c>
      <c r="G2047" s="338">
        <v>3</v>
      </c>
      <c r="H2047" s="385">
        <f>G2047*F2047</f>
        <v>38.519999999999996</v>
      </c>
    </row>
    <row r="2048" spans="2:8" s="69" customFormat="1" ht="19.5" customHeight="1" x14ac:dyDescent="0.25">
      <c r="B2048" s="423"/>
      <c r="C2048" s="288"/>
      <c r="D2048" s="61" t="s">
        <v>773</v>
      </c>
      <c r="E2048" s="340" t="s">
        <v>24</v>
      </c>
      <c r="F2048" s="331">
        <v>1</v>
      </c>
      <c r="G2048" s="331">
        <v>2.1</v>
      </c>
      <c r="H2048" s="385">
        <f>-G2048*F2048</f>
        <v>-2.1</v>
      </c>
    </row>
    <row r="2049" spans="2:8" s="69" customFormat="1" ht="19.5" customHeight="1" x14ac:dyDescent="0.25">
      <c r="B2049" s="423"/>
      <c r="C2049" s="288"/>
      <c r="D2049" s="61" t="s">
        <v>766</v>
      </c>
      <c r="E2049" s="340" t="s">
        <v>24</v>
      </c>
      <c r="F2049" s="331">
        <v>1.8</v>
      </c>
      <c r="G2049" s="331">
        <v>1.4</v>
      </c>
      <c r="H2049" s="385">
        <f>-4*G2049*F2049</f>
        <v>-10.08</v>
      </c>
    </row>
    <row r="2050" spans="2:8" s="69" customFormat="1" ht="19.5" customHeight="1" x14ac:dyDescent="0.25">
      <c r="B2050" s="423"/>
      <c r="C2050" s="288"/>
      <c r="D2050" s="61" t="s">
        <v>796</v>
      </c>
      <c r="E2050" s="340" t="s">
        <v>24</v>
      </c>
      <c r="F2050" s="338">
        <v>12.99</v>
      </c>
      <c r="G2050" s="338">
        <v>3</v>
      </c>
      <c r="H2050" s="385">
        <f>G2050*F2050</f>
        <v>38.97</v>
      </c>
    </row>
    <row r="2051" spans="2:8" s="69" customFormat="1" ht="19.5" customHeight="1" x14ac:dyDescent="0.25">
      <c r="B2051" s="423"/>
      <c r="C2051" s="288"/>
      <c r="D2051" s="61" t="s">
        <v>773</v>
      </c>
      <c r="E2051" s="340" t="s">
        <v>24</v>
      </c>
      <c r="F2051" s="331">
        <v>1</v>
      </c>
      <c r="G2051" s="331">
        <v>2.1</v>
      </c>
      <c r="H2051" s="385">
        <f>-G2051*F2051</f>
        <v>-2.1</v>
      </c>
    </row>
    <row r="2052" spans="2:8" s="69" customFormat="1" ht="19.5" customHeight="1" x14ac:dyDescent="0.25">
      <c r="B2052" s="423"/>
      <c r="C2052" s="288"/>
      <c r="D2052" s="61" t="s">
        <v>766</v>
      </c>
      <c r="E2052" s="340" t="s">
        <v>24</v>
      </c>
      <c r="F2052" s="331">
        <v>1.8</v>
      </c>
      <c r="G2052" s="331">
        <v>1.4</v>
      </c>
      <c r="H2052" s="385">
        <f>-4*G2052*F2052</f>
        <v>-10.08</v>
      </c>
    </row>
    <row r="2053" spans="2:8" s="69" customFormat="1" ht="19.5" customHeight="1" x14ac:dyDescent="0.25">
      <c r="B2053" s="423"/>
      <c r="C2053" s="288"/>
      <c r="D2053" s="61" t="s">
        <v>802</v>
      </c>
      <c r="E2053" s="340" t="s">
        <v>24</v>
      </c>
      <c r="F2053" s="338">
        <v>12.99</v>
      </c>
      <c r="G2053" s="338">
        <v>3</v>
      </c>
      <c r="H2053" s="385">
        <f>G2053*F2053</f>
        <v>38.97</v>
      </c>
    </row>
    <row r="2054" spans="2:8" s="69" customFormat="1" ht="19.5" customHeight="1" x14ac:dyDescent="0.25">
      <c r="B2054" s="423"/>
      <c r="C2054" s="288"/>
      <c r="D2054" s="61" t="s">
        <v>773</v>
      </c>
      <c r="E2054" s="340" t="s">
        <v>24</v>
      </c>
      <c r="F2054" s="331">
        <v>1</v>
      </c>
      <c r="G2054" s="331">
        <v>2.1</v>
      </c>
      <c r="H2054" s="385">
        <f>-G2054*F2054</f>
        <v>-2.1</v>
      </c>
    </row>
    <row r="2055" spans="2:8" s="69" customFormat="1" ht="19.5" customHeight="1" x14ac:dyDescent="0.25">
      <c r="B2055" s="423"/>
      <c r="C2055" s="288"/>
      <c r="D2055" s="61" t="s">
        <v>766</v>
      </c>
      <c r="E2055" s="340" t="s">
        <v>24</v>
      </c>
      <c r="F2055" s="331">
        <v>1.8</v>
      </c>
      <c r="G2055" s="331">
        <v>1.4</v>
      </c>
      <c r="H2055" s="385">
        <f>-4*G2055*F2055</f>
        <v>-10.08</v>
      </c>
    </row>
    <row r="2056" spans="2:8" s="69" customFormat="1" ht="19.5" customHeight="1" x14ac:dyDescent="0.25">
      <c r="B2056" s="423"/>
      <c r="C2056" s="288"/>
      <c r="D2056" s="61" t="s">
        <v>808</v>
      </c>
      <c r="E2056" s="340" t="s">
        <v>24</v>
      </c>
      <c r="F2056" s="338">
        <f>4.015+0.15+4.015+0.075</f>
        <v>8.254999999999999</v>
      </c>
      <c r="G2056" s="338">
        <v>3</v>
      </c>
      <c r="H2056" s="385">
        <f>G2056*F2056</f>
        <v>24.764999999999997</v>
      </c>
    </row>
    <row r="2057" spans="2:8" s="69" customFormat="1" ht="19.5" customHeight="1" x14ac:dyDescent="0.25">
      <c r="B2057" s="423"/>
      <c r="C2057" s="288"/>
      <c r="D2057" s="61" t="s">
        <v>773</v>
      </c>
      <c r="E2057" s="340" t="s">
        <v>24</v>
      </c>
      <c r="F2057" s="331">
        <v>1</v>
      </c>
      <c r="G2057" s="331">
        <v>2.1</v>
      </c>
      <c r="H2057" s="385">
        <f>-G2057*F2057</f>
        <v>-2.1</v>
      </c>
    </row>
    <row r="2058" spans="2:8" s="69" customFormat="1" ht="19.5" customHeight="1" x14ac:dyDescent="0.25">
      <c r="B2058" s="423"/>
      <c r="C2058" s="288"/>
      <c r="D2058" s="61" t="s">
        <v>806</v>
      </c>
      <c r="E2058" s="340" t="s">
        <v>24</v>
      </c>
      <c r="F2058" s="331">
        <v>1.8</v>
      </c>
      <c r="G2058" s="331">
        <v>1.4</v>
      </c>
      <c r="H2058" s="385">
        <f>-2*G2058*F2058</f>
        <v>-5.04</v>
      </c>
    </row>
    <row r="2059" spans="2:8" s="69" customFormat="1" ht="19.5" customHeight="1" x14ac:dyDescent="0.25">
      <c r="B2059" s="423"/>
      <c r="C2059" s="288"/>
      <c r="D2059" s="61" t="s">
        <v>817</v>
      </c>
      <c r="E2059" s="340" t="s">
        <v>24</v>
      </c>
      <c r="F2059" s="331">
        <f>6+7.4+1.25+0.15+0.075+0.2+0.2</f>
        <v>15.274999999999999</v>
      </c>
      <c r="G2059" s="338">
        <v>3</v>
      </c>
      <c r="H2059" s="385">
        <f>G2059*F2059</f>
        <v>45.824999999999996</v>
      </c>
    </row>
    <row r="2060" spans="2:8" s="69" customFormat="1" ht="19.5" customHeight="1" x14ac:dyDescent="0.25">
      <c r="B2060" s="423"/>
      <c r="C2060" s="288"/>
      <c r="D2060" s="61" t="s">
        <v>773</v>
      </c>
      <c r="E2060" s="340" t="s">
        <v>24</v>
      </c>
      <c r="F2060" s="331">
        <v>1</v>
      </c>
      <c r="G2060" s="338">
        <v>2.1</v>
      </c>
      <c r="H2060" s="385">
        <f>-G2060*F2060</f>
        <v>-2.1</v>
      </c>
    </row>
    <row r="2061" spans="2:8" s="69" customFormat="1" ht="19.5" customHeight="1" x14ac:dyDescent="0.25">
      <c r="B2061" s="423"/>
      <c r="C2061" s="288"/>
      <c r="D2061" s="61" t="s">
        <v>816</v>
      </c>
      <c r="E2061" s="340" t="s">
        <v>24</v>
      </c>
      <c r="F2061" s="331">
        <v>2.5</v>
      </c>
      <c r="G2061" s="338">
        <v>1.4</v>
      </c>
      <c r="H2061" s="385">
        <f>-4*G2061*F2061</f>
        <v>-14</v>
      </c>
    </row>
    <row r="2062" spans="2:8" s="69" customFormat="1" ht="19.5" customHeight="1" x14ac:dyDescent="0.25">
      <c r="B2062" s="423"/>
      <c r="C2062" s="288"/>
      <c r="D2062" s="61" t="s">
        <v>843</v>
      </c>
      <c r="E2062" s="340" t="s">
        <v>24</v>
      </c>
      <c r="F2062" s="338">
        <f>6.9+0.15+0.15+0.15+1.6+6.9+0.15+1.6</f>
        <v>17.600000000000001</v>
      </c>
      <c r="G2062" s="338">
        <v>3</v>
      </c>
      <c r="H2062" s="385">
        <f>G2062*F2062</f>
        <v>52.800000000000004</v>
      </c>
    </row>
    <row r="2063" spans="2:8" s="69" customFormat="1" ht="19.5" customHeight="1" x14ac:dyDescent="0.25">
      <c r="B2063" s="423"/>
      <c r="C2063" s="288"/>
      <c r="D2063" s="61" t="s">
        <v>837</v>
      </c>
      <c r="E2063" s="340" t="s">
        <v>24</v>
      </c>
      <c r="F2063" s="338">
        <v>0.8</v>
      </c>
      <c r="G2063" s="338">
        <v>2.1</v>
      </c>
      <c r="H2063" s="385">
        <f>-2*G2063*F2063</f>
        <v>-3.3600000000000003</v>
      </c>
    </row>
    <row r="2064" spans="2:8" s="69" customFormat="1" ht="19.5" customHeight="1" x14ac:dyDescent="0.25">
      <c r="B2064" s="423"/>
      <c r="C2064" s="288"/>
      <c r="D2064" s="61" t="s">
        <v>838</v>
      </c>
      <c r="E2064" s="340" t="s">
        <v>24</v>
      </c>
      <c r="F2064" s="338">
        <v>1</v>
      </c>
      <c r="G2064" s="338">
        <v>2.1</v>
      </c>
      <c r="H2064" s="385">
        <f>G2064*F2064*-1</f>
        <v>-2.1</v>
      </c>
    </row>
    <row r="2065" spans="2:8" s="69" customFormat="1" ht="19.5" customHeight="1" x14ac:dyDescent="0.25">
      <c r="B2065" s="423"/>
      <c r="C2065" s="288"/>
      <c r="D2065" s="61" t="s">
        <v>839</v>
      </c>
      <c r="E2065" s="340" t="s">
        <v>24</v>
      </c>
      <c r="F2065" s="235">
        <v>0.6</v>
      </c>
      <c r="G2065" s="235">
        <v>1.1000000000000001</v>
      </c>
      <c r="H2065" s="385">
        <f t="shared" ref="H2065:H2067" si="129">G2065*F2065*-1</f>
        <v>-0.66</v>
      </c>
    </row>
    <row r="2066" spans="2:8" s="69" customFormat="1" ht="19.5" customHeight="1" x14ac:dyDescent="0.25">
      <c r="B2066" s="423"/>
      <c r="C2066" s="288"/>
      <c r="D2066" s="61" t="s">
        <v>841</v>
      </c>
      <c r="E2066" s="340" t="s">
        <v>24</v>
      </c>
      <c r="F2066" s="338">
        <v>1.8</v>
      </c>
      <c r="G2066" s="338">
        <v>1.4</v>
      </c>
      <c r="H2066" s="385">
        <f t="shared" si="129"/>
        <v>-2.52</v>
      </c>
    </row>
    <row r="2067" spans="2:8" s="69" customFormat="1" ht="19.5" customHeight="1" x14ac:dyDescent="0.25">
      <c r="B2067" s="423"/>
      <c r="C2067" s="288"/>
      <c r="D2067" s="61" t="s">
        <v>842</v>
      </c>
      <c r="E2067" s="340" t="s">
        <v>24</v>
      </c>
      <c r="F2067" s="338">
        <v>1.3</v>
      </c>
      <c r="G2067" s="338">
        <v>1.4</v>
      </c>
      <c r="H2067" s="385">
        <f t="shared" si="129"/>
        <v>-1.8199999999999998</v>
      </c>
    </row>
    <row r="2068" spans="2:8" s="69" customFormat="1" ht="19.5" customHeight="1" x14ac:dyDescent="0.25">
      <c r="B2068" s="423"/>
      <c r="C2068" s="288"/>
      <c r="D2068" s="61" t="s">
        <v>840</v>
      </c>
      <c r="E2068" s="340" t="s">
        <v>24</v>
      </c>
      <c r="F2068" s="338">
        <v>2.4</v>
      </c>
      <c r="G2068" s="338">
        <v>1.4</v>
      </c>
      <c r="H2068" s="385">
        <f>G2068*F2068*-1*2</f>
        <v>-6.72</v>
      </c>
    </row>
    <row r="2069" spans="2:8" s="69" customFormat="1" ht="19.5" customHeight="1" x14ac:dyDescent="0.25">
      <c r="B2069" s="423"/>
      <c r="C2069" s="288"/>
      <c r="D2069" s="61" t="s">
        <v>846</v>
      </c>
      <c r="E2069" s="340" t="s">
        <v>24</v>
      </c>
      <c r="F2069" s="338">
        <f>0.075+3.04+0.18+0.15+6.35</f>
        <v>9.7949999999999999</v>
      </c>
      <c r="G2069" s="338">
        <v>3</v>
      </c>
      <c r="H2069" s="385">
        <f>G2069*F2069</f>
        <v>29.384999999999998</v>
      </c>
    </row>
    <row r="2070" spans="2:8" s="69" customFormat="1" ht="19.5" customHeight="1" x14ac:dyDescent="0.25">
      <c r="B2070" s="423"/>
      <c r="C2070" s="288"/>
      <c r="D2070" s="61" t="s">
        <v>845</v>
      </c>
      <c r="E2070" s="340" t="s">
        <v>24</v>
      </c>
      <c r="F2070" s="338">
        <v>2</v>
      </c>
      <c r="G2070" s="338">
        <v>1.4</v>
      </c>
      <c r="H2070" s="385">
        <f t="shared" ref="H2070" si="130">G2070*F2070*-1</f>
        <v>-2.8</v>
      </c>
    </row>
    <row r="2071" spans="2:8" s="69" customFormat="1" ht="19.5" customHeight="1" x14ac:dyDescent="0.25">
      <c r="B2071" s="423"/>
      <c r="C2071" s="288"/>
      <c r="D2071" s="61" t="s">
        <v>844</v>
      </c>
      <c r="E2071" s="340" t="s">
        <v>24</v>
      </c>
      <c r="F2071" s="338">
        <v>0.8</v>
      </c>
      <c r="G2071" s="338">
        <v>2.1</v>
      </c>
      <c r="H2071" s="385">
        <f>-G2071*F2071</f>
        <v>-1.6800000000000002</v>
      </c>
    </row>
    <row r="2072" spans="2:8" s="69" customFormat="1" ht="19.5" customHeight="1" x14ac:dyDescent="0.25">
      <c r="B2072" s="423"/>
      <c r="C2072" s="288"/>
      <c r="D2072" s="61" t="s">
        <v>847</v>
      </c>
      <c r="E2072" s="340" t="s">
        <v>24</v>
      </c>
      <c r="F2072" s="338">
        <f>0.15+3.04</f>
        <v>3.19</v>
      </c>
      <c r="G2072" s="338">
        <v>3</v>
      </c>
      <c r="H2072" s="385">
        <f>G2072*F2072</f>
        <v>9.57</v>
      </c>
    </row>
    <row r="2073" spans="2:8" s="69" customFormat="1" ht="19.5" customHeight="1" x14ac:dyDescent="0.25">
      <c r="B2073" s="423"/>
      <c r="C2073" s="288"/>
      <c r="D2073" s="61" t="s">
        <v>845</v>
      </c>
      <c r="E2073" s="340" t="s">
        <v>24</v>
      </c>
      <c r="F2073" s="338">
        <v>2</v>
      </c>
      <c r="G2073" s="338">
        <v>1.4</v>
      </c>
      <c r="H2073" s="385">
        <f t="shared" ref="H2073" si="131">G2073*F2073*-1</f>
        <v>-2.8</v>
      </c>
    </row>
    <row r="2074" spans="2:8" s="69" customFormat="1" ht="19.5" customHeight="1" x14ac:dyDescent="0.25">
      <c r="B2074" s="423"/>
      <c r="C2074" s="288"/>
      <c r="D2074" s="61" t="s">
        <v>848</v>
      </c>
      <c r="E2074" s="340" t="s">
        <v>24</v>
      </c>
      <c r="F2074" s="331">
        <f>14.75+0.075+0.05+11.2+0.075</f>
        <v>26.15</v>
      </c>
      <c r="G2074" s="338">
        <v>3</v>
      </c>
      <c r="H2074" s="385">
        <f>G2074*F2074</f>
        <v>78.449999999999989</v>
      </c>
    </row>
    <row r="2075" spans="2:8" s="69" customFormat="1" ht="19.5" customHeight="1" x14ac:dyDescent="0.25">
      <c r="B2075" s="424"/>
      <c r="C2075" s="289"/>
      <c r="D2075" s="61" t="s">
        <v>767</v>
      </c>
      <c r="E2075" s="340" t="s">
        <v>24</v>
      </c>
      <c r="F2075" s="331">
        <v>1</v>
      </c>
      <c r="G2075" s="338">
        <v>2.1</v>
      </c>
      <c r="H2075" s="385">
        <f>-G2075*F2075*2</f>
        <v>-4.2</v>
      </c>
    </row>
    <row r="2076" spans="2:8" s="69" customFormat="1" ht="19.5" customHeight="1" x14ac:dyDescent="0.25">
      <c r="B2076" s="422"/>
      <c r="C2076" s="287"/>
      <c r="D2076" s="61" t="s">
        <v>849</v>
      </c>
      <c r="E2076" s="340" t="s">
        <v>24</v>
      </c>
      <c r="F2076" s="331">
        <v>2.5</v>
      </c>
      <c r="G2076" s="338">
        <v>1.4</v>
      </c>
      <c r="H2076" s="385">
        <f>-6*G2076*F2076</f>
        <v>-20.999999999999996</v>
      </c>
    </row>
    <row r="2077" spans="2:8" s="69" customFormat="1" ht="19.5" customHeight="1" x14ac:dyDescent="0.25">
      <c r="B2077" s="423"/>
      <c r="C2077" s="288"/>
      <c r="D2077" s="61" t="s">
        <v>859</v>
      </c>
      <c r="E2077" s="340" t="s">
        <v>24</v>
      </c>
      <c r="F2077" s="331">
        <f>8.14+0.018+0.15+1.46+8.08+0.075</f>
        <v>17.922999999999998</v>
      </c>
      <c r="G2077" s="331">
        <v>3</v>
      </c>
      <c r="H2077" s="385">
        <f>G2077*F2077</f>
        <v>53.768999999999991</v>
      </c>
    </row>
    <row r="2078" spans="2:8" s="69" customFormat="1" ht="19.5" customHeight="1" x14ac:dyDescent="0.25">
      <c r="B2078" s="423"/>
      <c r="C2078" s="288"/>
      <c r="D2078" s="61" t="s">
        <v>856</v>
      </c>
      <c r="E2078" s="340" t="s">
        <v>24</v>
      </c>
      <c r="F2078" s="331">
        <v>1.26</v>
      </c>
      <c r="G2078" s="331">
        <v>2.1</v>
      </c>
      <c r="H2078" s="385">
        <f>2*-F2078*G2078</f>
        <v>-5.2920000000000007</v>
      </c>
    </row>
    <row r="2079" spans="2:8" s="69" customFormat="1" ht="19.5" customHeight="1" x14ac:dyDescent="0.25">
      <c r="B2079" s="423"/>
      <c r="C2079" s="288"/>
      <c r="D2079" s="61" t="s">
        <v>857</v>
      </c>
      <c r="E2079" s="340" t="s">
        <v>24</v>
      </c>
      <c r="F2079" s="331">
        <v>6.8</v>
      </c>
      <c r="G2079" s="331">
        <v>0.75</v>
      </c>
      <c r="H2079" s="385">
        <f t="shared" ref="H2079" si="132">2*-F2079*G2079</f>
        <v>-10.199999999999999</v>
      </c>
    </row>
    <row r="2080" spans="2:8" s="69" customFormat="1" ht="19.5" customHeight="1" x14ac:dyDescent="0.25">
      <c r="B2080" s="423"/>
      <c r="C2080" s="288"/>
      <c r="D2080" s="61" t="s">
        <v>860</v>
      </c>
      <c r="E2080" s="340" t="s">
        <v>24</v>
      </c>
      <c r="F2080" s="331">
        <f>8.4+0.09+0.18+0.15+1.46+8.4+0.09</f>
        <v>18.77</v>
      </c>
      <c r="G2080" s="331">
        <v>3</v>
      </c>
      <c r="H2080" s="385">
        <f t="shared" ref="H2080" si="133">G2080*F2080</f>
        <v>56.31</v>
      </c>
    </row>
    <row r="2081" spans="2:8" s="69" customFormat="1" ht="19.5" customHeight="1" x14ac:dyDescent="0.25">
      <c r="B2081" s="423"/>
      <c r="C2081" s="288"/>
      <c r="D2081" s="61" t="s">
        <v>856</v>
      </c>
      <c r="E2081" s="340" t="s">
        <v>24</v>
      </c>
      <c r="F2081" s="331">
        <v>1.26</v>
      </c>
      <c r="G2081" s="331">
        <v>2.1</v>
      </c>
      <c r="H2081" s="385">
        <f>2*-F2081*G2081</f>
        <v>-5.2920000000000007</v>
      </c>
    </row>
    <row r="2082" spans="2:8" s="69" customFormat="1" ht="19.5" customHeight="1" x14ac:dyDescent="0.25">
      <c r="B2082" s="423"/>
      <c r="C2082" s="288"/>
      <c r="D2082" s="61" t="s">
        <v>857</v>
      </c>
      <c r="E2082" s="340" t="s">
        <v>24</v>
      </c>
      <c r="F2082" s="331">
        <v>6.8</v>
      </c>
      <c r="G2082" s="331">
        <v>0.75</v>
      </c>
      <c r="H2082" s="385">
        <f t="shared" ref="H2082" si="134">2*-F2082*G2082</f>
        <v>-10.199999999999999</v>
      </c>
    </row>
    <row r="2083" spans="2:8" s="69" customFormat="1" ht="19.5" customHeight="1" x14ac:dyDescent="0.25">
      <c r="B2083" s="423"/>
      <c r="C2083" s="288"/>
      <c r="D2083" s="61" t="s">
        <v>861</v>
      </c>
      <c r="E2083" s="340" t="s">
        <v>24</v>
      </c>
      <c r="F2083" s="331">
        <f>0.09+7.59+0.15+0.15+6.35+0.15+0.15+7.59+0.09</f>
        <v>22.31</v>
      </c>
      <c r="G2083" s="331">
        <v>3</v>
      </c>
      <c r="H2083" s="385">
        <f t="shared" ref="H2083" si="135">G2083*F2083</f>
        <v>66.929999999999993</v>
      </c>
    </row>
    <row r="2084" spans="2:8" s="69" customFormat="1" ht="19.5" customHeight="1" x14ac:dyDescent="0.25">
      <c r="B2084" s="423"/>
      <c r="C2084" s="288"/>
      <c r="D2084" s="61" t="s">
        <v>773</v>
      </c>
      <c r="E2084" s="340" t="s">
        <v>24</v>
      </c>
      <c r="F2084" s="331">
        <v>1</v>
      </c>
      <c r="G2084" s="338">
        <v>2.1</v>
      </c>
      <c r="H2084" s="385">
        <f>-G2084*F2084*1</f>
        <v>-2.1</v>
      </c>
    </row>
    <row r="2085" spans="2:8" s="69" customFormat="1" ht="19.5" customHeight="1" x14ac:dyDescent="0.25">
      <c r="B2085" s="423"/>
      <c r="C2085" s="288"/>
      <c r="D2085" s="61" t="s">
        <v>816</v>
      </c>
      <c r="E2085" s="340" t="s">
        <v>24</v>
      </c>
      <c r="F2085" s="331">
        <v>2.5</v>
      </c>
      <c r="G2085" s="338">
        <v>1.4</v>
      </c>
      <c r="H2085" s="385">
        <f>-4*G2085*F2085</f>
        <v>-14</v>
      </c>
    </row>
    <row r="2086" spans="2:8" s="69" customFormat="1" ht="19.5" customHeight="1" x14ac:dyDescent="0.25">
      <c r="B2086" s="423"/>
      <c r="C2086" s="288"/>
      <c r="D2086" s="61" t="s">
        <v>862</v>
      </c>
      <c r="E2086" s="340" t="s">
        <v>24</v>
      </c>
      <c r="F2086" s="331">
        <f>1.72+0.18+0.18+2.98+0.18+0.18+1.72</f>
        <v>7.14</v>
      </c>
      <c r="G2086" s="331">
        <v>3</v>
      </c>
      <c r="H2086" s="385">
        <f>G2086*F2086</f>
        <v>21.419999999999998</v>
      </c>
    </row>
    <row r="2087" spans="2:8" s="69" customFormat="1" ht="19.5" customHeight="1" x14ac:dyDescent="0.25">
      <c r="B2087" s="423"/>
      <c r="C2087" s="288"/>
      <c r="D2087" s="61" t="s">
        <v>864</v>
      </c>
      <c r="E2087" s="340" t="s">
        <v>24</v>
      </c>
      <c r="F2087" s="331">
        <v>1.3</v>
      </c>
      <c r="G2087" s="338">
        <v>1.4</v>
      </c>
      <c r="H2087" s="385">
        <f>-G2087*F2087*2</f>
        <v>-3.6399999999999997</v>
      </c>
    </row>
    <row r="2088" spans="2:8" s="69" customFormat="1" ht="19.5" customHeight="1" x14ac:dyDescent="0.25">
      <c r="B2088" s="423"/>
      <c r="C2088" s="288"/>
      <c r="D2088" s="61" t="s">
        <v>865</v>
      </c>
      <c r="E2088" s="340" t="s">
        <v>24</v>
      </c>
      <c r="F2088" s="331">
        <v>2</v>
      </c>
      <c r="G2088" s="338">
        <v>1.4</v>
      </c>
      <c r="H2088" s="385">
        <f>-G2088*F2088</f>
        <v>-2.8</v>
      </c>
    </row>
    <row r="2089" spans="2:8" s="69" customFormat="1" ht="19.5" customHeight="1" x14ac:dyDescent="0.25">
      <c r="B2089" s="423"/>
      <c r="C2089" s="288"/>
      <c r="D2089" s="61" t="s">
        <v>863</v>
      </c>
      <c r="E2089" s="340" t="s">
        <v>24</v>
      </c>
      <c r="F2089" s="331">
        <f>1.46+0.15+2.98+1.46+0.15</f>
        <v>6.2</v>
      </c>
      <c r="G2089" s="331">
        <v>3</v>
      </c>
      <c r="H2089" s="385">
        <f>G2089*F2089</f>
        <v>18.600000000000001</v>
      </c>
    </row>
    <row r="2090" spans="2:8" s="69" customFormat="1" ht="19.5" customHeight="1" x14ac:dyDescent="0.25">
      <c r="B2090" s="423"/>
      <c r="C2090" s="288"/>
      <c r="D2090" s="61" t="s">
        <v>865</v>
      </c>
      <c r="E2090" s="340" t="s">
        <v>24</v>
      </c>
      <c r="F2090" s="331">
        <v>2</v>
      </c>
      <c r="G2090" s="338">
        <v>1.4</v>
      </c>
      <c r="H2090" s="385">
        <f>-G2090*F2090</f>
        <v>-2.8</v>
      </c>
    </row>
    <row r="2091" spans="2:8" s="69" customFormat="1" ht="19.5" customHeight="1" x14ac:dyDescent="0.25">
      <c r="B2091" s="423"/>
      <c r="C2091" s="288"/>
      <c r="D2091" s="61" t="s">
        <v>856</v>
      </c>
      <c r="E2091" s="340" t="s">
        <v>24</v>
      </c>
      <c r="F2091" s="331">
        <v>1.26</v>
      </c>
      <c r="G2091" s="331">
        <v>2.1</v>
      </c>
      <c r="H2091" s="385">
        <f>2*-F2091*G2091</f>
        <v>-5.2920000000000007</v>
      </c>
    </row>
    <row r="2092" spans="2:8" s="69" customFormat="1" ht="19.5" customHeight="1" x14ac:dyDescent="0.25">
      <c r="B2092" s="423"/>
      <c r="C2092" s="288"/>
      <c r="D2092" s="61" t="s">
        <v>875</v>
      </c>
      <c r="E2092" s="340" t="s">
        <v>24</v>
      </c>
      <c r="F2092" s="252">
        <f>0.1+8+0.15+0.15+6.05+0.15+8+0.15+0.1</f>
        <v>22.85</v>
      </c>
      <c r="G2092" s="331">
        <v>3</v>
      </c>
      <c r="H2092" s="385">
        <f>G2092*F2095</f>
        <v>68.474999999999994</v>
      </c>
    </row>
    <row r="2093" spans="2:8" s="69" customFormat="1" ht="19.5" customHeight="1" x14ac:dyDescent="0.25">
      <c r="B2093" s="423"/>
      <c r="C2093" s="288"/>
      <c r="D2093" s="61" t="s">
        <v>773</v>
      </c>
      <c r="E2093" s="340" t="s">
        <v>24</v>
      </c>
      <c r="F2093" s="331">
        <v>1</v>
      </c>
      <c r="G2093" s="338">
        <v>2.1</v>
      </c>
      <c r="H2093" s="385">
        <f>-G2093*F2093*1</f>
        <v>-2.1</v>
      </c>
    </row>
    <row r="2094" spans="2:8" s="69" customFormat="1" ht="19.5" customHeight="1" x14ac:dyDescent="0.25">
      <c r="B2094" s="423"/>
      <c r="C2094" s="288"/>
      <c r="D2094" s="61" t="s">
        <v>816</v>
      </c>
      <c r="E2094" s="340" t="s">
        <v>24</v>
      </c>
      <c r="F2094" s="331">
        <v>2.5</v>
      </c>
      <c r="G2094" s="338">
        <v>1.4</v>
      </c>
      <c r="H2094" s="385">
        <f>-4*G2094*F2094</f>
        <v>-14</v>
      </c>
    </row>
    <row r="2095" spans="2:8" s="69" customFormat="1" ht="19.5" customHeight="1" x14ac:dyDescent="0.25">
      <c r="B2095" s="423"/>
      <c r="C2095" s="288"/>
      <c r="D2095" s="61" t="s">
        <v>876</v>
      </c>
      <c r="E2095" s="340" t="s">
        <v>24</v>
      </c>
      <c r="F2095" s="331">
        <f>6+8+8+0.1+0.15+0.15+0.2+0.15+0.075</f>
        <v>22.824999999999996</v>
      </c>
      <c r="G2095" s="331">
        <v>3</v>
      </c>
      <c r="H2095" s="385">
        <f>G2095*F2095</f>
        <v>68.474999999999994</v>
      </c>
    </row>
    <row r="2096" spans="2:8" s="69" customFormat="1" ht="19.5" customHeight="1" x14ac:dyDescent="0.25">
      <c r="B2096" s="423"/>
      <c r="C2096" s="288"/>
      <c r="D2096" s="61" t="s">
        <v>874</v>
      </c>
      <c r="E2096" s="340" t="s">
        <v>24</v>
      </c>
      <c r="F2096" s="331">
        <v>0.8</v>
      </c>
      <c r="G2096" s="338">
        <v>2.1</v>
      </c>
      <c r="H2096" s="385">
        <f>-G2096*F2096*1</f>
        <v>-1.6800000000000002</v>
      </c>
    </row>
    <row r="2097" spans="2:8" s="69" customFormat="1" ht="19.5" customHeight="1" x14ac:dyDescent="0.25">
      <c r="B2097" s="423"/>
      <c r="C2097" s="288"/>
      <c r="D2097" s="61" t="s">
        <v>816</v>
      </c>
      <c r="E2097" s="340" t="s">
        <v>24</v>
      </c>
      <c r="F2097" s="331">
        <v>2.5</v>
      </c>
      <c r="G2097" s="338">
        <v>1.4</v>
      </c>
      <c r="H2097" s="385">
        <f>-4*G2097*F2097</f>
        <v>-14</v>
      </c>
    </row>
    <row r="2098" spans="2:8" s="69" customFormat="1" ht="19.5" customHeight="1" x14ac:dyDescent="0.25">
      <c r="B2098" s="423"/>
      <c r="C2098" s="288"/>
      <c r="D2098" s="61" t="s">
        <v>877</v>
      </c>
      <c r="E2098" s="340" t="s">
        <v>24</v>
      </c>
      <c r="F2098" s="331">
        <f>1.25+0.15+6.15+0.2+0.15+4+0.15+3.805+2.9+0.15+2.9</f>
        <v>21.805</v>
      </c>
      <c r="G2098" s="331">
        <v>1.5</v>
      </c>
      <c r="H2098" s="385">
        <f>G2098*F2098</f>
        <v>32.707499999999996</v>
      </c>
    </row>
    <row r="2099" spans="2:8" s="69" customFormat="1" ht="19.5" customHeight="1" x14ac:dyDescent="0.25">
      <c r="B2099" s="423"/>
      <c r="C2099" s="288"/>
      <c r="D2099" s="61" t="s">
        <v>878</v>
      </c>
      <c r="E2099" s="340" t="s">
        <v>24</v>
      </c>
      <c r="F2099" s="338">
        <v>3</v>
      </c>
      <c r="G2099" s="338">
        <v>0.75</v>
      </c>
      <c r="H2099" s="385">
        <f>-2*G2099*F2099</f>
        <v>-4.5</v>
      </c>
    </row>
    <row r="2100" spans="2:8" s="69" customFormat="1" ht="19.5" customHeight="1" x14ac:dyDescent="0.25">
      <c r="B2100" s="423"/>
      <c r="C2100" s="288"/>
      <c r="D2100" s="64" t="s">
        <v>1037</v>
      </c>
      <c r="E2100" s="340" t="s">
        <v>24</v>
      </c>
      <c r="F2100" s="66">
        <f>7.92+7.92</f>
        <v>15.84</v>
      </c>
      <c r="G2100" s="66">
        <v>1.5</v>
      </c>
      <c r="H2100" s="407">
        <f>F2100*G2100</f>
        <v>23.759999999999998</v>
      </c>
    </row>
    <row r="2101" spans="2:8" s="69" customFormat="1" ht="19.5" customHeight="1" x14ac:dyDescent="0.25">
      <c r="B2101" s="423"/>
      <c r="C2101" s="288"/>
      <c r="D2101" s="64" t="s">
        <v>1038</v>
      </c>
      <c r="E2101" s="340" t="s">
        <v>24</v>
      </c>
      <c r="F2101" s="66">
        <f>8.4+8.4</f>
        <v>16.8</v>
      </c>
      <c r="G2101" s="66">
        <v>1.5</v>
      </c>
      <c r="H2101" s="407">
        <f>F2101*G2101</f>
        <v>25.200000000000003</v>
      </c>
    </row>
    <row r="2102" spans="2:8" s="69" customFormat="1" ht="19.5" customHeight="1" x14ac:dyDescent="0.25">
      <c r="B2102" s="423"/>
      <c r="C2102" s="288"/>
      <c r="D2102" s="64" t="s">
        <v>1039</v>
      </c>
      <c r="E2102" s="340" t="s">
        <v>24</v>
      </c>
      <c r="F2102" s="66">
        <f>8.08+8.14</f>
        <v>16.22</v>
      </c>
      <c r="G2102" s="66">
        <v>1.5</v>
      </c>
      <c r="H2102" s="407">
        <f t="shared" ref="H2102:H2103" si="136">F2102*G2102</f>
        <v>24.33</v>
      </c>
    </row>
    <row r="2103" spans="2:8" s="69" customFormat="1" ht="19.5" customHeight="1" x14ac:dyDescent="0.25">
      <c r="B2103" s="423"/>
      <c r="C2103" s="288"/>
      <c r="D2103" s="64" t="s">
        <v>1040</v>
      </c>
      <c r="E2103" s="340" t="s">
        <v>24</v>
      </c>
      <c r="F2103" s="66">
        <f>3.04+0.15+3.04+0.18+6.35+0.15</f>
        <v>12.91</v>
      </c>
      <c r="G2103" s="66">
        <v>1.5</v>
      </c>
      <c r="H2103" s="407">
        <f t="shared" si="136"/>
        <v>19.365000000000002</v>
      </c>
    </row>
    <row r="2104" spans="2:8" s="69" customFormat="1" ht="19.5" customHeight="1" x14ac:dyDescent="0.25">
      <c r="B2104" s="423"/>
      <c r="C2104" s="288"/>
      <c r="D2104" s="64" t="s">
        <v>1041</v>
      </c>
      <c r="E2104" s="340" t="s">
        <v>24</v>
      </c>
      <c r="F2104" s="340">
        <f>8.25+7.2+8.25+7.2</f>
        <v>30.9</v>
      </c>
      <c r="G2104" s="66">
        <v>1.5</v>
      </c>
      <c r="H2104" s="407">
        <f>F2104*G2104</f>
        <v>46.349999999999994</v>
      </c>
    </row>
    <row r="2105" spans="2:8" s="69" customFormat="1" ht="19.5" customHeight="1" x14ac:dyDescent="0.25">
      <c r="B2105" s="423"/>
      <c r="C2105" s="288"/>
      <c r="D2105" s="157" t="s">
        <v>973</v>
      </c>
      <c r="E2105" s="158" t="s">
        <v>24</v>
      </c>
      <c r="F2105" s="159" t="s">
        <v>26</v>
      </c>
      <c r="G2105" s="159" t="s">
        <v>31</v>
      </c>
      <c r="H2105" s="397">
        <f>SUM(H2106:H2108)</f>
        <v>135.9</v>
      </c>
    </row>
    <row r="2106" spans="2:8" s="69" customFormat="1" ht="19.5" customHeight="1" x14ac:dyDescent="0.25">
      <c r="B2106" s="423"/>
      <c r="C2106" s="288"/>
      <c r="D2106" s="83" t="s">
        <v>970</v>
      </c>
      <c r="E2106" s="340" t="s">
        <v>24</v>
      </c>
      <c r="F2106" s="331">
        <v>51.7</v>
      </c>
      <c r="G2106" s="331">
        <v>0.6</v>
      </c>
      <c r="H2106" s="402">
        <f>F2106*G2106*2</f>
        <v>62.04</v>
      </c>
    </row>
    <row r="2107" spans="2:8" s="69" customFormat="1" ht="19.5" customHeight="1" x14ac:dyDescent="0.25">
      <c r="B2107" s="423"/>
      <c r="C2107" s="288"/>
      <c r="D2107" s="83" t="s">
        <v>972</v>
      </c>
      <c r="E2107" s="340" t="s">
        <v>24</v>
      </c>
      <c r="F2107" s="331">
        <f>4.35+5.5</f>
        <v>9.85</v>
      </c>
      <c r="G2107" s="331">
        <v>0.6</v>
      </c>
      <c r="H2107" s="402">
        <f>F2107*G2107*2</f>
        <v>11.819999999999999</v>
      </c>
    </row>
    <row r="2108" spans="2:8" s="69" customFormat="1" ht="19.5" customHeight="1" x14ac:dyDescent="0.25">
      <c r="B2108" s="424"/>
      <c r="C2108" s="289"/>
      <c r="D2108" s="83" t="s">
        <v>971</v>
      </c>
      <c r="E2108" s="340" t="s">
        <v>24</v>
      </c>
      <c r="F2108" s="331">
        <v>51.7</v>
      </c>
      <c r="G2108" s="331">
        <v>0.6</v>
      </c>
      <c r="H2108" s="402">
        <f>F2108*G2108*2</f>
        <v>62.04</v>
      </c>
    </row>
    <row r="2109" spans="2:8" s="69" customFormat="1" ht="19.5" customHeight="1" x14ac:dyDescent="0.25">
      <c r="B2109" s="394" t="s">
        <v>994</v>
      </c>
      <c r="C2109" s="179" t="s">
        <v>850</v>
      </c>
      <c r="D2109" s="77" t="s">
        <v>851</v>
      </c>
      <c r="E2109" s="75" t="s">
        <v>24</v>
      </c>
      <c r="F2109" s="342" t="s">
        <v>26</v>
      </c>
      <c r="G2109" s="342" t="s">
        <v>31</v>
      </c>
      <c r="H2109" s="387">
        <f>SUM(H2110:H2127)</f>
        <v>16.450000000000003</v>
      </c>
    </row>
    <row r="2110" spans="2:8" s="69" customFormat="1" ht="19.5" customHeight="1" x14ac:dyDescent="0.25">
      <c r="B2110" s="449"/>
      <c r="C2110" s="450"/>
      <c r="D2110" s="61" t="s">
        <v>852</v>
      </c>
      <c r="E2110" s="340" t="s">
        <v>24</v>
      </c>
      <c r="F2110" s="338">
        <f>8.14+8.14+6.35+6.35</f>
        <v>28.980000000000004</v>
      </c>
      <c r="G2110" s="338">
        <v>0.1</v>
      </c>
      <c r="H2110" s="385">
        <f>G2110*F2110</f>
        <v>2.8980000000000006</v>
      </c>
    </row>
    <row r="2111" spans="2:8" s="69" customFormat="1" ht="19.5" customHeight="1" x14ac:dyDescent="0.25">
      <c r="B2111" s="451"/>
      <c r="C2111" s="452"/>
      <c r="D2111" s="61" t="s">
        <v>1280</v>
      </c>
      <c r="E2111" s="340" t="s">
        <v>24</v>
      </c>
      <c r="F2111" s="338">
        <v>0.8</v>
      </c>
      <c r="G2111" s="338">
        <v>0.1</v>
      </c>
      <c r="H2111" s="385">
        <f>G2111*F2111*-2</f>
        <v>-0.16000000000000003</v>
      </c>
    </row>
    <row r="2112" spans="2:8" s="69" customFormat="1" ht="19.5" customHeight="1" x14ac:dyDescent="0.25">
      <c r="B2112" s="451"/>
      <c r="C2112" s="452"/>
      <c r="D2112" s="61" t="s">
        <v>1281</v>
      </c>
      <c r="E2112" s="340" t="s">
        <v>24</v>
      </c>
      <c r="F2112" s="338">
        <v>1.46</v>
      </c>
      <c r="G2112" s="338">
        <v>0.1</v>
      </c>
      <c r="H2112" s="385">
        <f>G2112*F2112*-2</f>
        <v>-0.29199999999999998</v>
      </c>
    </row>
    <row r="2113" spans="2:8" s="69" customFormat="1" ht="19.5" customHeight="1" x14ac:dyDescent="0.25">
      <c r="B2113" s="451"/>
      <c r="C2113" s="452"/>
      <c r="D2113" s="61" t="s">
        <v>868</v>
      </c>
      <c r="E2113" s="340" t="s">
        <v>24</v>
      </c>
      <c r="F2113" s="270">
        <f>7.59+7.59+6.35+6.35</f>
        <v>27.880000000000003</v>
      </c>
      <c r="G2113" s="338">
        <v>0.1</v>
      </c>
      <c r="H2113" s="385">
        <f t="shared" ref="H2113:H2126" si="137">G2113*F2113</f>
        <v>2.7880000000000003</v>
      </c>
    </row>
    <row r="2114" spans="2:8" s="69" customFormat="1" ht="19.5" customHeight="1" x14ac:dyDescent="0.25">
      <c r="B2114" s="451"/>
      <c r="C2114" s="452"/>
      <c r="D2114" s="61" t="s">
        <v>1282</v>
      </c>
      <c r="E2114" s="340" t="s">
        <v>24</v>
      </c>
      <c r="F2114" s="270">
        <v>1</v>
      </c>
      <c r="G2114" s="338">
        <v>0.1</v>
      </c>
      <c r="H2114" s="385">
        <f>G2114*-F2114</f>
        <v>-0.1</v>
      </c>
    </row>
    <row r="2115" spans="2:8" s="69" customFormat="1" ht="19.5" customHeight="1" x14ac:dyDescent="0.25">
      <c r="B2115" s="451"/>
      <c r="C2115" s="452"/>
      <c r="D2115" s="61" t="s">
        <v>869</v>
      </c>
      <c r="E2115" s="340" t="s">
        <v>24</v>
      </c>
      <c r="F2115" s="338">
        <f>8.4+8.4+6.35+6.35</f>
        <v>29.5</v>
      </c>
      <c r="G2115" s="338">
        <v>0.1</v>
      </c>
      <c r="H2115" s="385">
        <f t="shared" si="137"/>
        <v>2.95</v>
      </c>
    </row>
    <row r="2116" spans="2:8" s="69" customFormat="1" ht="19.5" customHeight="1" x14ac:dyDescent="0.25">
      <c r="B2116" s="451"/>
      <c r="C2116" s="452"/>
      <c r="D2116" s="61" t="s">
        <v>1280</v>
      </c>
      <c r="E2116" s="340" t="s">
        <v>24</v>
      </c>
      <c r="F2116" s="338">
        <v>0.8</v>
      </c>
      <c r="G2116" s="338">
        <v>0.1</v>
      </c>
      <c r="H2116" s="385">
        <f>G2116*F2116*-2</f>
        <v>-0.16000000000000003</v>
      </c>
    </row>
    <row r="2117" spans="2:8" s="69" customFormat="1" ht="19.5" customHeight="1" x14ac:dyDescent="0.25">
      <c r="B2117" s="451"/>
      <c r="C2117" s="452"/>
      <c r="D2117" s="61" t="s">
        <v>1281</v>
      </c>
      <c r="E2117" s="340" t="s">
        <v>24</v>
      </c>
      <c r="F2117" s="338">
        <v>1.46</v>
      </c>
      <c r="G2117" s="338">
        <v>0.1</v>
      </c>
      <c r="H2117" s="385">
        <f>G2117*F2117*-2</f>
        <v>-0.29199999999999998</v>
      </c>
    </row>
    <row r="2118" spans="2:8" s="69" customFormat="1" ht="19.5" customHeight="1" x14ac:dyDescent="0.25">
      <c r="B2118" s="451"/>
      <c r="C2118" s="452"/>
      <c r="D2118" s="61" t="s">
        <v>870</v>
      </c>
      <c r="E2118" s="340" t="s">
        <v>24</v>
      </c>
      <c r="F2118" s="338">
        <f>2.98+2.98+3.2+3.2</f>
        <v>12.36</v>
      </c>
      <c r="G2118" s="338">
        <v>0.1</v>
      </c>
      <c r="H2118" s="385">
        <f t="shared" si="137"/>
        <v>1.236</v>
      </c>
    </row>
    <row r="2119" spans="2:8" s="69" customFormat="1" ht="19.5" customHeight="1" x14ac:dyDescent="0.25">
      <c r="B2119" s="451"/>
      <c r="C2119" s="452"/>
      <c r="D2119" s="61" t="s">
        <v>1280</v>
      </c>
      <c r="E2119" s="340" t="s">
        <v>24</v>
      </c>
      <c r="F2119" s="338">
        <v>0.8</v>
      </c>
      <c r="G2119" s="338">
        <v>0.1</v>
      </c>
      <c r="H2119" s="385">
        <f>G2119*F2119*-2</f>
        <v>-0.16000000000000003</v>
      </c>
    </row>
    <row r="2120" spans="2:8" s="69" customFormat="1" ht="19.5" customHeight="1" x14ac:dyDescent="0.25">
      <c r="B2120" s="453"/>
      <c r="C2120" s="454"/>
      <c r="D2120" s="61" t="s">
        <v>871</v>
      </c>
      <c r="E2120" s="340" t="s">
        <v>24</v>
      </c>
      <c r="F2120" s="338">
        <f>2.98+2.98+3.2+3.2</f>
        <v>12.36</v>
      </c>
      <c r="G2120" s="338">
        <v>0.1</v>
      </c>
      <c r="H2120" s="385">
        <f>G2120*F2120</f>
        <v>1.236</v>
      </c>
    </row>
    <row r="2121" spans="2:8" s="69" customFormat="1" ht="19.5" customHeight="1" x14ac:dyDescent="0.25">
      <c r="B2121" s="422"/>
      <c r="C2121" s="287"/>
      <c r="D2121" s="61" t="s">
        <v>1280</v>
      </c>
      <c r="E2121" s="340" t="s">
        <v>24</v>
      </c>
      <c r="F2121" s="338">
        <v>0.8</v>
      </c>
      <c r="G2121" s="338">
        <v>0.1</v>
      </c>
      <c r="H2121" s="385">
        <f>G2121*F2121*-2</f>
        <v>-0.16000000000000003</v>
      </c>
    </row>
    <row r="2122" spans="2:8" s="69" customFormat="1" ht="19.5" customHeight="1" x14ac:dyDescent="0.25">
      <c r="B2122" s="423"/>
      <c r="C2122" s="288"/>
      <c r="D2122" s="61" t="s">
        <v>1269</v>
      </c>
      <c r="E2122" s="340" t="s">
        <v>24</v>
      </c>
      <c r="F2122" s="338">
        <f>7.05+7.05+5.64+5.64</f>
        <v>25.38</v>
      </c>
      <c r="G2122" s="338">
        <v>0.1</v>
      </c>
      <c r="H2122" s="385">
        <f t="shared" si="137"/>
        <v>2.5380000000000003</v>
      </c>
    </row>
    <row r="2123" spans="2:8" s="69" customFormat="1" ht="19.5" customHeight="1" x14ac:dyDescent="0.25">
      <c r="B2123" s="423"/>
      <c r="C2123" s="288"/>
      <c r="D2123" s="61" t="s">
        <v>1280</v>
      </c>
      <c r="E2123" s="340" t="s">
        <v>24</v>
      </c>
      <c r="F2123" s="338">
        <v>0.8</v>
      </c>
      <c r="G2123" s="338">
        <v>0.1</v>
      </c>
      <c r="H2123" s="385">
        <f>G2123*F2123*-2</f>
        <v>-0.16000000000000003</v>
      </c>
    </row>
    <row r="2124" spans="2:8" s="69" customFormat="1" ht="19.5" customHeight="1" x14ac:dyDescent="0.25">
      <c r="B2124" s="423"/>
      <c r="C2124" s="288"/>
      <c r="D2124" s="61" t="s">
        <v>1270</v>
      </c>
      <c r="E2124" s="340" t="s">
        <v>24</v>
      </c>
      <c r="F2124" s="338">
        <f>7.05+3.3+7.05+3.3</f>
        <v>20.7</v>
      </c>
      <c r="G2124" s="338">
        <v>0.1</v>
      </c>
      <c r="H2124" s="385">
        <f t="shared" si="137"/>
        <v>2.0699999999999998</v>
      </c>
    </row>
    <row r="2125" spans="2:8" s="69" customFormat="1" ht="19.5" customHeight="1" x14ac:dyDescent="0.25">
      <c r="B2125" s="423"/>
      <c r="C2125" s="288"/>
      <c r="D2125" s="61" t="s">
        <v>1280</v>
      </c>
      <c r="E2125" s="340" t="s">
        <v>24</v>
      </c>
      <c r="F2125" s="338">
        <v>0.8</v>
      </c>
      <c r="G2125" s="338">
        <v>0.1</v>
      </c>
      <c r="H2125" s="385">
        <f>G2125*F2125*-2</f>
        <v>-0.16000000000000003</v>
      </c>
    </row>
    <row r="2126" spans="2:8" s="69" customFormat="1" ht="19.5" customHeight="1" x14ac:dyDescent="0.25">
      <c r="B2126" s="423"/>
      <c r="C2126" s="288"/>
      <c r="D2126" s="61" t="s">
        <v>1271</v>
      </c>
      <c r="E2126" s="340" t="s">
        <v>24</v>
      </c>
      <c r="F2126" s="338">
        <f>7.05+7.05+5.64+5.64</f>
        <v>25.38</v>
      </c>
      <c r="G2126" s="338">
        <v>0.1</v>
      </c>
      <c r="H2126" s="385">
        <f t="shared" si="137"/>
        <v>2.5380000000000003</v>
      </c>
    </row>
    <row r="2127" spans="2:8" s="69" customFormat="1" ht="19.5" customHeight="1" x14ac:dyDescent="0.25">
      <c r="B2127" s="424"/>
      <c r="C2127" s="289"/>
      <c r="D2127" s="61" t="s">
        <v>1280</v>
      </c>
      <c r="E2127" s="340" t="s">
        <v>24</v>
      </c>
      <c r="F2127" s="338">
        <v>0.8</v>
      </c>
      <c r="G2127" s="338">
        <v>0.1</v>
      </c>
      <c r="H2127" s="385">
        <f>G2127*F2127*-2</f>
        <v>-0.16000000000000003</v>
      </c>
    </row>
    <row r="2128" spans="2:8" s="69" customFormat="1" ht="19.5" customHeight="1" x14ac:dyDescent="0.25">
      <c r="B2128" s="394" t="s">
        <v>995</v>
      </c>
      <c r="C2128" s="179" t="s">
        <v>879</v>
      </c>
      <c r="D2128" s="77" t="s">
        <v>880</v>
      </c>
      <c r="E2128" s="75" t="s">
        <v>24</v>
      </c>
      <c r="F2128" s="342" t="s">
        <v>26</v>
      </c>
      <c r="G2128" s="342" t="s">
        <v>31</v>
      </c>
      <c r="H2128" s="387">
        <f>SUM(H2129:H2145)</f>
        <v>81.647999999999996</v>
      </c>
    </row>
    <row r="2129" spans="2:8" s="69" customFormat="1" ht="19.5" customHeight="1" x14ac:dyDescent="0.25">
      <c r="B2129" s="449"/>
      <c r="C2129" s="450"/>
      <c r="D2129" s="61" t="s">
        <v>881</v>
      </c>
      <c r="E2129" s="340" t="s">
        <v>24</v>
      </c>
      <c r="F2129" s="338">
        <v>0.8</v>
      </c>
      <c r="G2129" s="338">
        <v>2.1</v>
      </c>
      <c r="H2129" s="385">
        <f>G2129*F2129*2*2</f>
        <v>6.7200000000000006</v>
      </c>
    </row>
    <row r="2130" spans="2:8" s="69" customFormat="1" ht="19.5" customHeight="1" x14ac:dyDescent="0.25">
      <c r="B2130" s="451"/>
      <c r="C2130" s="452"/>
      <c r="D2130" s="61" t="s">
        <v>882</v>
      </c>
      <c r="E2130" s="340" t="s">
        <v>24</v>
      </c>
      <c r="F2130" s="338">
        <v>0.8</v>
      </c>
      <c r="G2130" s="338">
        <v>2.1</v>
      </c>
      <c r="H2130" s="385">
        <f>G2130*F2130*2*2</f>
        <v>6.7200000000000006</v>
      </c>
    </row>
    <row r="2131" spans="2:8" s="69" customFormat="1" ht="19.5" customHeight="1" x14ac:dyDescent="0.25">
      <c r="B2131" s="451"/>
      <c r="C2131" s="452"/>
      <c r="D2131" s="61" t="s">
        <v>883</v>
      </c>
      <c r="E2131" s="340" t="s">
        <v>24</v>
      </c>
      <c r="F2131" s="338">
        <v>1.26</v>
      </c>
      <c r="G2131" s="338">
        <v>2.1</v>
      </c>
      <c r="H2131" s="385">
        <f t="shared" ref="H2131:H2132" si="138">G2131*F2131*2*2</f>
        <v>10.584000000000001</v>
      </c>
    </row>
    <row r="2132" spans="2:8" s="69" customFormat="1" ht="19.5" customHeight="1" x14ac:dyDescent="0.25">
      <c r="B2132" s="451"/>
      <c r="C2132" s="452"/>
      <c r="D2132" s="61" t="s">
        <v>884</v>
      </c>
      <c r="E2132" s="340" t="s">
        <v>24</v>
      </c>
      <c r="F2132" s="338">
        <v>1.26</v>
      </c>
      <c r="G2132" s="338">
        <v>2.1</v>
      </c>
      <c r="H2132" s="385">
        <f t="shared" si="138"/>
        <v>10.584000000000001</v>
      </c>
    </row>
    <row r="2133" spans="2:8" s="69" customFormat="1" ht="19.5" customHeight="1" x14ac:dyDescent="0.25">
      <c r="B2133" s="451"/>
      <c r="C2133" s="452"/>
      <c r="D2133" s="61" t="s">
        <v>885</v>
      </c>
      <c r="E2133" s="340" t="s">
        <v>24</v>
      </c>
      <c r="F2133" s="338">
        <v>0.8</v>
      </c>
      <c r="G2133" s="338">
        <v>2.1</v>
      </c>
      <c r="H2133" s="385">
        <f>G2133*F2133*2</f>
        <v>3.3600000000000003</v>
      </c>
    </row>
    <row r="2134" spans="2:8" s="69" customFormat="1" ht="19.5" customHeight="1" x14ac:dyDescent="0.25">
      <c r="B2134" s="451"/>
      <c r="C2134" s="452"/>
      <c r="D2134" s="61" t="s">
        <v>886</v>
      </c>
      <c r="E2134" s="340" t="s">
        <v>24</v>
      </c>
      <c r="F2134" s="338">
        <v>0.8</v>
      </c>
      <c r="G2134" s="338">
        <v>2.1</v>
      </c>
      <c r="H2134" s="385">
        <f t="shared" ref="H2134:H2142" si="139">G2134*F2134*2</f>
        <v>3.3600000000000003</v>
      </c>
    </row>
    <row r="2135" spans="2:8" s="69" customFormat="1" ht="19.5" customHeight="1" x14ac:dyDescent="0.25">
      <c r="B2135" s="451"/>
      <c r="C2135" s="452"/>
      <c r="D2135" s="61" t="s">
        <v>887</v>
      </c>
      <c r="E2135" s="340" t="s">
        <v>24</v>
      </c>
      <c r="F2135" s="338">
        <v>0.8</v>
      </c>
      <c r="G2135" s="338">
        <v>2.1</v>
      </c>
      <c r="H2135" s="385">
        <f t="shared" si="139"/>
        <v>3.3600000000000003</v>
      </c>
    </row>
    <row r="2136" spans="2:8" s="69" customFormat="1" ht="19.5" customHeight="1" x14ac:dyDescent="0.25">
      <c r="B2136" s="451"/>
      <c r="C2136" s="452"/>
      <c r="D2136" s="61" t="s">
        <v>888</v>
      </c>
      <c r="E2136" s="340" t="s">
        <v>24</v>
      </c>
      <c r="F2136" s="338">
        <v>0.8</v>
      </c>
      <c r="G2136" s="338">
        <v>2.1</v>
      </c>
      <c r="H2136" s="385">
        <f t="shared" si="139"/>
        <v>3.3600000000000003</v>
      </c>
    </row>
    <row r="2137" spans="2:8" s="69" customFormat="1" ht="19.5" customHeight="1" x14ac:dyDescent="0.25">
      <c r="B2137" s="451"/>
      <c r="C2137" s="452"/>
      <c r="D2137" s="61" t="s">
        <v>889</v>
      </c>
      <c r="E2137" s="340" t="s">
        <v>24</v>
      </c>
      <c r="F2137" s="338">
        <v>0.8</v>
      </c>
      <c r="G2137" s="338">
        <v>2.1</v>
      </c>
      <c r="H2137" s="385">
        <f t="shared" si="139"/>
        <v>3.3600000000000003</v>
      </c>
    </row>
    <row r="2138" spans="2:8" s="69" customFormat="1" ht="19.5" customHeight="1" x14ac:dyDescent="0.25">
      <c r="B2138" s="451"/>
      <c r="C2138" s="452"/>
      <c r="D2138" s="61" t="s">
        <v>890</v>
      </c>
      <c r="E2138" s="340" t="s">
        <v>24</v>
      </c>
      <c r="F2138" s="338">
        <v>0.8</v>
      </c>
      <c r="G2138" s="338">
        <v>2.1</v>
      </c>
      <c r="H2138" s="385">
        <f t="shared" si="139"/>
        <v>3.3600000000000003</v>
      </c>
    </row>
    <row r="2139" spans="2:8" s="69" customFormat="1" ht="19.5" customHeight="1" x14ac:dyDescent="0.25">
      <c r="B2139" s="451"/>
      <c r="C2139" s="452"/>
      <c r="D2139" s="61" t="s">
        <v>891</v>
      </c>
      <c r="E2139" s="340" t="s">
        <v>24</v>
      </c>
      <c r="F2139" s="338">
        <v>0.8</v>
      </c>
      <c r="G2139" s="338">
        <v>2.1</v>
      </c>
      <c r="H2139" s="385">
        <f t="shared" si="139"/>
        <v>3.3600000000000003</v>
      </c>
    </row>
    <row r="2140" spans="2:8" s="69" customFormat="1" ht="19.5" customHeight="1" x14ac:dyDescent="0.25">
      <c r="B2140" s="451"/>
      <c r="C2140" s="452"/>
      <c r="D2140" s="61" t="s">
        <v>892</v>
      </c>
      <c r="E2140" s="340" t="s">
        <v>24</v>
      </c>
      <c r="F2140" s="338">
        <v>0.8</v>
      </c>
      <c r="G2140" s="338">
        <v>2.1</v>
      </c>
      <c r="H2140" s="385">
        <f t="shared" si="139"/>
        <v>3.3600000000000003</v>
      </c>
    </row>
    <row r="2141" spans="2:8" s="69" customFormat="1" ht="19.5" customHeight="1" x14ac:dyDescent="0.25">
      <c r="B2141" s="451"/>
      <c r="C2141" s="452"/>
      <c r="D2141" s="61" t="s">
        <v>893</v>
      </c>
      <c r="E2141" s="340" t="s">
        <v>24</v>
      </c>
      <c r="F2141" s="338">
        <v>0.8</v>
      </c>
      <c r="G2141" s="338">
        <v>2.1</v>
      </c>
      <c r="H2141" s="385">
        <f t="shared" si="139"/>
        <v>3.3600000000000003</v>
      </c>
    </row>
    <row r="2142" spans="2:8" s="69" customFormat="1" ht="19.5" customHeight="1" x14ac:dyDescent="0.25">
      <c r="B2142" s="451"/>
      <c r="C2142" s="452"/>
      <c r="D2142" s="61" t="s">
        <v>894</v>
      </c>
      <c r="E2142" s="340" t="s">
        <v>24</v>
      </c>
      <c r="F2142" s="338">
        <v>0.8</v>
      </c>
      <c r="G2142" s="338">
        <v>2.1</v>
      </c>
      <c r="H2142" s="385">
        <f t="shared" si="139"/>
        <v>3.3600000000000003</v>
      </c>
    </row>
    <row r="2143" spans="2:8" s="69" customFormat="1" ht="19.5" customHeight="1" x14ac:dyDescent="0.25">
      <c r="B2143" s="451"/>
      <c r="C2143" s="452"/>
      <c r="D2143" s="61" t="s">
        <v>895</v>
      </c>
      <c r="E2143" s="340" t="s">
        <v>24</v>
      </c>
      <c r="F2143" s="338">
        <v>0.8</v>
      </c>
      <c r="G2143" s="338">
        <v>2.1</v>
      </c>
      <c r="H2143" s="385">
        <f>G2143*F2143*2*2</f>
        <v>6.7200000000000006</v>
      </c>
    </row>
    <row r="2144" spans="2:8" s="69" customFormat="1" ht="19.5" customHeight="1" x14ac:dyDescent="0.25">
      <c r="B2144" s="451"/>
      <c r="C2144" s="452"/>
      <c r="D2144" s="61" t="s">
        <v>896</v>
      </c>
      <c r="E2144" s="340" t="s">
        <v>24</v>
      </c>
      <c r="F2144" s="338">
        <v>0.8</v>
      </c>
      <c r="G2144" s="338">
        <v>2.1</v>
      </c>
      <c r="H2144" s="385">
        <f>G2144*F2144*2</f>
        <v>3.3600000000000003</v>
      </c>
    </row>
    <row r="2145" spans="2:8" s="69" customFormat="1" ht="19.5" customHeight="1" x14ac:dyDescent="0.25">
      <c r="B2145" s="453"/>
      <c r="C2145" s="454"/>
      <c r="D2145" s="61" t="s">
        <v>897</v>
      </c>
      <c r="E2145" s="340" t="s">
        <v>24</v>
      </c>
      <c r="F2145" s="338">
        <v>0.8</v>
      </c>
      <c r="G2145" s="338">
        <v>2.1</v>
      </c>
      <c r="H2145" s="385">
        <f>G2145*F2145*2</f>
        <v>3.3600000000000003</v>
      </c>
    </row>
    <row r="2146" spans="2:8" s="69" customFormat="1" ht="19.5" customHeight="1" x14ac:dyDescent="0.25">
      <c r="B2146" s="394" t="s">
        <v>996</v>
      </c>
      <c r="C2146" s="179">
        <v>260902</v>
      </c>
      <c r="D2146" s="77" t="s">
        <v>898</v>
      </c>
      <c r="E2146" s="75" t="s">
        <v>24</v>
      </c>
      <c r="F2146" s="342" t="s">
        <v>26</v>
      </c>
      <c r="G2146" s="342" t="s">
        <v>31</v>
      </c>
      <c r="H2146" s="387">
        <f>SUM(H2147:H2181)</f>
        <v>164.80800000000008</v>
      </c>
    </row>
    <row r="2147" spans="2:8" s="69" customFormat="1" ht="19.5" customHeight="1" x14ac:dyDescent="0.25">
      <c r="B2147" s="449"/>
      <c r="C2147" s="450"/>
      <c r="D2147" s="61" t="s">
        <v>881</v>
      </c>
      <c r="E2147" s="340" t="s">
        <v>24</v>
      </c>
      <c r="F2147" s="338">
        <v>0.8</v>
      </c>
      <c r="G2147" s="338">
        <v>2.1</v>
      </c>
      <c r="H2147" s="385">
        <f>G2147*F2147*2*2</f>
        <v>6.7200000000000006</v>
      </c>
    </row>
    <row r="2148" spans="2:8" s="69" customFormat="1" ht="19.5" customHeight="1" x14ac:dyDescent="0.25">
      <c r="B2148" s="451"/>
      <c r="C2148" s="452"/>
      <c r="D2148" s="61" t="s">
        <v>882</v>
      </c>
      <c r="E2148" s="340" t="s">
        <v>24</v>
      </c>
      <c r="F2148" s="338">
        <v>0.8</v>
      </c>
      <c r="G2148" s="338">
        <v>2.1</v>
      </c>
      <c r="H2148" s="385">
        <f t="shared" ref="H2148:H2150" si="140">G2148*F2148*2*2</f>
        <v>6.7200000000000006</v>
      </c>
    </row>
    <row r="2149" spans="2:8" s="69" customFormat="1" ht="19.5" customHeight="1" x14ac:dyDescent="0.25">
      <c r="B2149" s="451"/>
      <c r="C2149" s="452"/>
      <c r="D2149" s="61" t="s">
        <v>883</v>
      </c>
      <c r="E2149" s="340" t="s">
        <v>24</v>
      </c>
      <c r="F2149" s="338">
        <v>1.26</v>
      </c>
      <c r="G2149" s="338">
        <v>2.1</v>
      </c>
      <c r="H2149" s="385">
        <f t="shared" si="140"/>
        <v>10.584000000000001</v>
      </c>
    </row>
    <row r="2150" spans="2:8" s="69" customFormat="1" ht="19.5" customHeight="1" x14ac:dyDescent="0.25">
      <c r="B2150" s="451"/>
      <c r="C2150" s="452"/>
      <c r="D2150" s="61" t="s">
        <v>884</v>
      </c>
      <c r="E2150" s="340" t="s">
        <v>24</v>
      </c>
      <c r="F2150" s="338">
        <v>1.26</v>
      </c>
      <c r="G2150" s="338">
        <v>2.1</v>
      </c>
      <c r="H2150" s="385">
        <f t="shared" si="140"/>
        <v>10.584000000000001</v>
      </c>
    </row>
    <row r="2151" spans="2:8" s="69" customFormat="1" ht="19.5" customHeight="1" x14ac:dyDescent="0.25">
      <c r="B2151" s="451"/>
      <c r="C2151" s="452"/>
      <c r="D2151" s="61" t="s">
        <v>885</v>
      </c>
      <c r="E2151" s="340" t="s">
        <v>24</v>
      </c>
      <c r="F2151" s="338">
        <v>0.8</v>
      </c>
      <c r="G2151" s="338">
        <v>2.1</v>
      </c>
      <c r="H2151" s="385">
        <f>G2151*F2151*2</f>
        <v>3.3600000000000003</v>
      </c>
    </row>
    <row r="2152" spans="2:8" s="69" customFormat="1" ht="19.5" customHeight="1" x14ac:dyDescent="0.25">
      <c r="B2152" s="451"/>
      <c r="C2152" s="452"/>
      <c r="D2152" s="61" t="s">
        <v>886</v>
      </c>
      <c r="E2152" s="340" t="s">
        <v>24</v>
      </c>
      <c r="F2152" s="338">
        <v>0.8</v>
      </c>
      <c r="G2152" s="338">
        <v>2.1</v>
      </c>
      <c r="H2152" s="385">
        <f t="shared" ref="H2152:H2160" si="141">G2152*F2152*2</f>
        <v>3.3600000000000003</v>
      </c>
    </row>
    <row r="2153" spans="2:8" s="69" customFormat="1" ht="19.5" customHeight="1" x14ac:dyDescent="0.25">
      <c r="B2153" s="451"/>
      <c r="C2153" s="452"/>
      <c r="D2153" s="61" t="s">
        <v>887</v>
      </c>
      <c r="E2153" s="340" t="s">
        <v>24</v>
      </c>
      <c r="F2153" s="338">
        <v>0.8</v>
      </c>
      <c r="G2153" s="338">
        <v>2.1</v>
      </c>
      <c r="H2153" s="385">
        <f t="shared" si="141"/>
        <v>3.3600000000000003</v>
      </c>
    </row>
    <row r="2154" spans="2:8" s="69" customFormat="1" ht="19.5" customHeight="1" x14ac:dyDescent="0.25">
      <c r="B2154" s="451"/>
      <c r="C2154" s="452"/>
      <c r="D2154" s="61" t="s">
        <v>888</v>
      </c>
      <c r="E2154" s="340" t="s">
        <v>24</v>
      </c>
      <c r="F2154" s="338">
        <v>0.8</v>
      </c>
      <c r="G2154" s="338">
        <v>2.1</v>
      </c>
      <c r="H2154" s="385">
        <f t="shared" si="141"/>
        <v>3.3600000000000003</v>
      </c>
    </row>
    <row r="2155" spans="2:8" s="69" customFormat="1" ht="19.5" customHeight="1" x14ac:dyDescent="0.25">
      <c r="B2155" s="451"/>
      <c r="C2155" s="452"/>
      <c r="D2155" s="61" t="s">
        <v>889</v>
      </c>
      <c r="E2155" s="340" t="s">
        <v>24</v>
      </c>
      <c r="F2155" s="338">
        <v>0.8</v>
      </c>
      <c r="G2155" s="338">
        <v>2.1</v>
      </c>
      <c r="H2155" s="385">
        <f t="shared" si="141"/>
        <v>3.3600000000000003</v>
      </c>
    </row>
    <row r="2156" spans="2:8" s="69" customFormat="1" ht="19.5" customHeight="1" x14ac:dyDescent="0.25">
      <c r="B2156" s="451"/>
      <c r="C2156" s="452"/>
      <c r="D2156" s="61" t="s">
        <v>890</v>
      </c>
      <c r="E2156" s="340" t="s">
        <v>24</v>
      </c>
      <c r="F2156" s="338">
        <v>0.8</v>
      </c>
      <c r="G2156" s="338">
        <v>2.1</v>
      </c>
      <c r="H2156" s="385">
        <f t="shared" si="141"/>
        <v>3.3600000000000003</v>
      </c>
    </row>
    <row r="2157" spans="2:8" s="69" customFormat="1" ht="19.5" customHeight="1" x14ac:dyDescent="0.25">
      <c r="B2157" s="451"/>
      <c r="C2157" s="452"/>
      <c r="D2157" s="61" t="s">
        <v>891</v>
      </c>
      <c r="E2157" s="340" t="s">
        <v>24</v>
      </c>
      <c r="F2157" s="338">
        <v>0.8</v>
      </c>
      <c r="G2157" s="338">
        <v>2.1</v>
      </c>
      <c r="H2157" s="385">
        <f t="shared" si="141"/>
        <v>3.3600000000000003</v>
      </c>
    </row>
    <row r="2158" spans="2:8" s="69" customFormat="1" ht="19.5" customHeight="1" x14ac:dyDescent="0.25">
      <c r="B2158" s="451"/>
      <c r="C2158" s="452"/>
      <c r="D2158" s="61" t="s">
        <v>892</v>
      </c>
      <c r="E2158" s="340" t="s">
        <v>24</v>
      </c>
      <c r="F2158" s="338">
        <v>0.8</v>
      </c>
      <c r="G2158" s="338">
        <v>2.1</v>
      </c>
      <c r="H2158" s="385">
        <f t="shared" si="141"/>
        <v>3.3600000000000003</v>
      </c>
    </row>
    <row r="2159" spans="2:8" s="69" customFormat="1" ht="19.5" customHeight="1" x14ac:dyDescent="0.25">
      <c r="B2159" s="451"/>
      <c r="C2159" s="452"/>
      <c r="D2159" s="61" t="s">
        <v>893</v>
      </c>
      <c r="E2159" s="340" t="s">
        <v>24</v>
      </c>
      <c r="F2159" s="338">
        <v>0.8</v>
      </c>
      <c r="G2159" s="338">
        <v>2.1</v>
      </c>
      <c r="H2159" s="385">
        <f t="shared" si="141"/>
        <v>3.3600000000000003</v>
      </c>
    </row>
    <row r="2160" spans="2:8" s="69" customFormat="1" ht="19.5" customHeight="1" x14ac:dyDescent="0.25">
      <c r="B2160" s="451"/>
      <c r="C2160" s="452"/>
      <c r="D2160" s="61" t="s">
        <v>894</v>
      </c>
      <c r="E2160" s="340" t="s">
        <v>24</v>
      </c>
      <c r="F2160" s="338">
        <v>0.8</v>
      </c>
      <c r="G2160" s="338">
        <v>2.1</v>
      </c>
      <c r="H2160" s="385">
        <f t="shared" si="141"/>
        <v>3.3600000000000003</v>
      </c>
    </row>
    <row r="2161" spans="2:8" s="69" customFormat="1" ht="19.5" customHeight="1" x14ac:dyDescent="0.25">
      <c r="B2161" s="451"/>
      <c r="C2161" s="452"/>
      <c r="D2161" s="61" t="s">
        <v>895</v>
      </c>
      <c r="E2161" s="340" t="s">
        <v>24</v>
      </c>
      <c r="F2161" s="338">
        <v>0.8</v>
      </c>
      <c r="G2161" s="338">
        <v>2.1</v>
      </c>
      <c r="H2161" s="385">
        <f>G2161*F2161*2*2</f>
        <v>6.7200000000000006</v>
      </c>
    </row>
    <row r="2162" spans="2:8" s="69" customFormat="1" ht="19.5" customHeight="1" x14ac:dyDescent="0.25">
      <c r="B2162" s="451"/>
      <c r="C2162" s="452"/>
      <c r="D2162" s="61" t="s">
        <v>896</v>
      </c>
      <c r="E2162" s="340" t="s">
        <v>24</v>
      </c>
      <c r="F2162" s="338">
        <v>0.8</v>
      </c>
      <c r="G2162" s="338">
        <v>2.1</v>
      </c>
      <c r="H2162" s="385">
        <f>G2162*F2162*2</f>
        <v>3.3600000000000003</v>
      </c>
    </row>
    <row r="2163" spans="2:8" s="69" customFormat="1" ht="19.5" customHeight="1" x14ac:dyDescent="0.25">
      <c r="B2163" s="451"/>
      <c r="C2163" s="452"/>
      <c r="D2163" s="61" t="s">
        <v>897</v>
      </c>
      <c r="E2163" s="340" t="s">
        <v>24</v>
      </c>
      <c r="F2163" s="338">
        <v>0.8</v>
      </c>
      <c r="G2163" s="338">
        <v>2.1</v>
      </c>
      <c r="H2163" s="385">
        <f>G2163*F2163*2</f>
        <v>3.3600000000000003</v>
      </c>
    </row>
    <row r="2164" spans="2:8" s="69" customFormat="1" ht="19.5" customHeight="1" x14ac:dyDescent="0.25">
      <c r="B2164" s="451"/>
      <c r="C2164" s="452"/>
      <c r="D2164" s="61" t="s">
        <v>899</v>
      </c>
      <c r="E2164" s="340" t="s">
        <v>24</v>
      </c>
      <c r="F2164" s="338">
        <v>1</v>
      </c>
      <c r="G2164" s="338">
        <v>2.1</v>
      </c>
      <c r="H2164" s="385">
        <f>G2164*F2164*2</f>
        <v>4.2</v>
      </c>
    </row>
    <row r="2165" spans="2:8" s="69" customFormat="1" ht="19.5" customHeight="1" x14ac:dyDescent="0.25">
      <c r="B2165" s="453"/>
      <c r="C2165" s="454"/>
      <c r="D2165" s="61" t="s">
        <v>900</v>
      </c>
      <c r="E2165" s="340" t="s">
        <v>24</v>
      </c>
      <c r="F2165" s="338">
        <v>1</v>
      </c>
      <c r="G2165" s="338">
        <v>2.1</v>
      </c>
      <c r="H2165" s="385">
        <f>2*G2165*F2165*2</f>
        <v>8.4</v>
      </c>
    </row>
    <row r="2166" spans="2:8" s="69" customFormat="1" ht="19.5" customHeight="1" x14ac:dyDescent="0.25">
      <c r="B2166" s="422"/>
      <c r="C2166" s="287"/>
      <c r="D2166" s="61" t="s">
        <v>901</v>
      </c>
      <c r="E2166" s="340" t="s">
        <v>24</v>
      </c>
      <c r="F2166" s="338">
        <v>1</v>
      </c>
      <c r="G2166" s="338">
        <v>2.1</v>
      </c>
      <c r="H2166" s="385">
        <f>2*G2166*F2166</f>
        <v>4.2</v>
      </c>
    </row>
    <row r="2167" spans="2:8" s="69" customFormat="1" ht="19.5" customHeight="1" x14ac:dyDescent="0.25">
      <c r="B2167" s="423"/>
      <c r="C2167" s="288"/>
      <c r="D2167" s="61" t="s">
        <v>902</v>
      </c>
      <c r="E2167" s="340" t="s">
        <v>24</v>
      </c>
      <c r="F2167" s="338">
        <v>1</v>
      </c>
      <c r="G2167" s="338">
        <v>2.1</v>
      </c>
      <c r="H2167" s="385">
        <f>2*G2167*F2167</f>
        <v>4.2</v>
      </c>
    </row>
    <row r="2168" spans="2:8" s="69" customFormat="1" ht="19.5" customHeight="1" x14ac:dyDescent="0.25">
      <c r="B2168" s="423"/>
      <c r="C2168" s="288"/>
      <c r="D2168" s="61" t="s">
        <v>903</v>
      </c>
      <c r="E2168" s="340" t="s">
        <v>24</v>
      </c>
      <c r="F2168" s="338">
        <v>1</v>
      </c>
      <c r="G2168" s="338">
        <v>2.1</v>
      </c>
      <c r="H2168" s="385">
        <f>G2168*F2168*2*2</f>
        <v>8.4</v>
      </c>
    </row>
    <row r="2169" spans="2:8" s="69" customFormat="1" ht="19.5" customHeight="1" x14ac:dyDescent="0.25">
      <c r="B2169" s="423"/>
      <c r="C2169" s="288"/>
      <c r="D2169" s="61" t="s">
        <v>904</v>
      </c>
      <c r="E2169" s="340" t="s">
        <v>24</v>
      </c>
      <c r="F2169" s="338">
        <v>1</v>
      </c>
      <c r="G2169" s="338">
        <v>2.1</v>
      </c>
      <c r="H2169" s="385">
        <f>G2169*F2169*2</f>
        <v>4.2</v>
      </c>
    </row>
    <row r="2170" spans="2:8" s="69" customFormat="1" ht="19.5" customHeight="1" x14ac:dyDescent="0.25">
      <c r="B2170" s="423"/>
      <c r="C2170" s="288"/>
      <c r="D2170" s="61" t="s">
        <v>905</v>
      </c>
      <c r="E2170" s="340" t="s">
        <v>24</v>
      </c>
      <c r="F2170" s="338">
        <v>1</v>
      </c>
      <c r="G2170" s="338">
        <v>2.1</v>
      </c>
      <c r="H2170" s="385">
        <f t="shared" ref="H2170:H2171" si="142">G2170*F2170*2</f>
        <v>4.2</v>
      </c>
    </row>
    <row r="2171" spans="2:8" s="69" customFormat="1" ht="19.5" customHeight="1" x14ac:dyDescent="0.25">
      <c r="B2171" s="423"/>
      <c r="C2171" s="288"/>
      <c r="D2171" s="61" t="s">
        <v>906</v>
      </c>
      <c r="E2171" s="340" t="s">
        <v>24</v>
      </c>
      <c r="F2171" s="338">
        <v>1</v>
      </c>
      <c r="G2171" s="338">
        <v>2.1</v>
      </c>
      <c r="H2171" s="385">
        <f t="shared" si="142"/>
        <v>4.2</v>
      </c>
    </row>
    <row r="2172" spans="2:8" s="69" customFormat="1" ht="19.5" customHeight="1" x14ac:dyDescent="0.25">
      <c r="B2172" s="423"/>
      <c r="C2172" s="288"/>
      <c r="D2172" s="61" t="s">
        <v>908</v>
      </c>
      <c r="E2172" s="340" t="s">
        <v>24</v>
      </c>
      <c r="F2172" s="338">
        <v>1</v>
      </c>
      <c r="G2172" s="338">
        <v>2.1</v>
      </c>
      <c r="H2172" s="385">
        <f>G2172*F2172*2*2</f>
        <v>8.4</v>
      </c>
    </row>
    <row r="2173" spans="2:8" s="69" customFormat="1" ht="19.5" customHeight="1" x14ac:dyDescent="0.25">
      <c r="B2173" s="423"/>
      <c r="C2173" s="288"/>
      <c r="D2173" s="61" t="s">
        <v>907</v>
      </c>
      <c r="E2173" s="340" t="s">
        <v>24</v>
      </c>
      <c r="F2173" s="338">
        <v>0.8</v>
      </c>
      <c r="G2173" s="338">
        <v>2.1</v>
      </c>
      <c r="H2173" s="385">
        <f>G2173*F2173*2</f>
        <v>3.3600000000000003</v>
      </c>
    </row>
    <row r="2174" spans="2:8" s="69" customFormat="1" ht="19.5" customHeight="1" x14ac:dyDescent="0.25">
      <c r="B2174" s="423"/>
      <c r="C2174" s="288"/>
      <c r="D2174" s="61" t="s">
        <v>909</v>
      </c>
      <c r="E2174" s="340" t="s">
        <v>24</v>
      </c>
      <c r="F2174" s="338">
        <v>0.8</v>
      </c>
      <c r="G2174" s="338">
        <v>2.1</v>
      </c>
      <c r="H2174" s="385">
        <f t="shared" ref="H2174:H2181" si="143">G2174*F2174*2</f>
        <v>3.3600000000000003</v>
      </c>
    </row>
    <row r="2175" spans="2:8" s="69" customFormat="1" ht="19.5" customHeight="1" x14ac:dyDescent="0.25">
      <c r="B2175" s="423"/>
      <c r="C2175" s="288"/>
      <c r="D2175" s="61" t="s">
        <v>910</v>
      </c>
      <c r="E2175" s="340" t="s">
        <v>24</v>
      </c>
      <c r="F2175" s="338">
        <v>1</v>
      </c>
      <c r="G2175" s="338">
        <v>2.1</v>
      </c>
      <c r="H2175" s="385">
        <f t="shared" si="143"/>
        <v>4.2</v>
      </c>
    </row>
    <row r="2176" spans="2:8" s="69" customFormat="1" ht="19.5" customHeight="1" x14ac:dyDescent="0.25">
      <c r="B2176" s="423"/>
      <c r="C2176" s="288"/>
      <c r="D2176" s="61" t="s">
        <v>911</v>
      </c>
      <c r="E2176" s="340" t="s">
        <v>24</v>
      </c>
      <c r="F2176" s="338">
        <v>0.8</v>
      </c>
      <c r="G2176" s="338">
        <v>2.1</v>
      </c>
      <c r="H2176" s="385">
        <f t="shared" si="143"/>
        <v>3.3600000000000003</v>
      </c>
    </row>
    <row r="2177" spans="2:8" s="69" customFormat="1" ht="19.5" customHeight="1" x14ac:dyDescent="0.25">
      <c r="B2177" s="423"/>
      <c r="C2177" s="288"/>
      <c r="D2177" s="61" t="s">
        <v>912</v>
      </c>
      <c r="E2177" s="340" t="s">
        <v>24</v>
      </c>
      <c r="F2177" s="338">
        <v>0.8</v>
      </c>
      <c r="G2177" s="338">
        <v>2.1</v>
      </c>
      <c r="H2177" s="385">
        <f t="shared" si="143"/>
        <v>3.3600000000000003</v>
      </c>
    </row>
    <row r="2178" spans="2:8" s="69" customFormat="1" ht="19.5" customHeight="1" x14ac:dyDescent="0.25">
      <c r="B2178" s="423"/>
      <c r="C2178" s="288"/>
      <c r="D2178" s="61" t="s">
        <v>913</v>
      </c>
      <c r="E2178" s="340" t="s">
        <v>24</v>
      </c>
      <c r="F2178" s="338">
        <v>0.8</v>
      </c>
      <c r="G2178" s="338">
        <v>2.1</v>
      </c>
      <c r="H2178" s="385">
        <f t="shared" si="143"/>
        <v>3.3600000000000003</v>
      </c>
    </row>
    <row r="2179" spans="2:8" s="69" customFormat="1" ht="19.5" customHeight="1" x14ac:dyDescent="0.25">
      <c r="B2179" s="423"/>
      <c r="C2179" s="288"/>
      <c r="D2179" s="61" t="s">
        <v>914</v>
      </c>
      <c r="E2179" s="340" t="s">
        <v>24</v>
      </c>
      <c r="F2179" s="338">
        <v>0.8</v>
      </c>
      <c r="G2179" s="338">
        <v>2.1</v>
      </c>
      <c r="H2179" s="385">
        <f t="shared" si="143"/>
        <v>3.3600000000000003</v>
      </c>
    </row>
    <row r="2180" spans="2:8" s="69" customFormat="1" ht="19.5" customHeight="1" x14ac:dyDescent="0.25">
      <c r="B2180" s="423"/>
      <c r="C2180" s="288"/>
      <c r="D2180" s="61" t="s">
        <v>915</v>
      </c>
      <c r="E2180" s="340" t="s">
        <v>24</v>
      </c>
      <c r="F2180" s="338">
        <v>1</v>
      </c>
      <c r="G2180" s="338">
        <v>2.1</v>
      </c>
      <c r="H2180" s="385">
        <f t="shared" si="143"/>
        <v>4.2</v>
      </c>
    </row>
    <row r="2181" spans="2:8" s="69" customFormat="1" ht="19.5" customHeight="1" x14ac:dyDescent="0.25">
      <c r="B2181" s="424"/>
      <c r="C2181" s="289"/>
      <c r="D2181" s="61" t="s">
        <v>916</v>
      </c>
      <c r="E2181" s="340" t="s">
        <v>24</v>
      </c>
      <c r="F2181" s="338">
        <v>1</v>
      </c>
      <c r="G2181" s="338">
        <v>2.1</v>
      </c>
      <c r="H2181" s="385">
        <f t="shared" si="143"/>
        <v>4.2</v>
      </c>
    </row>
    <row r="2182" spans="2:8" s="69" customFormat="1" ht="19.5" customHeight="1" x14ac:dyDescent="0.25">
      <c r="B2182" s="386" t="s">
        <v>997</v>
      </c>
      <c r="C2182" s="163">
        <v>261703</v>
      </c>
      <c r="D2182" s="80" t="s">
        <v>968</v>
      </c>
      <c r="E2182" s="162" t="s">
        <v>24</v>
      </c>
      <c r="F2182" s="330" t="s">
        <v>26</v>
      </c>
      <c r="G2182" s="330" t="s">
        <v>27</v>
      </c>
      <c r="H2182" s="387">
        <f>SUM(H2183:H2195)</f>
        <v>300.13349999999997</v>
      </c>
    </row>
    <row r="2183" spans="2:8" s="69" customFormat="1" ht="19.5" customHeight="1" x14ac:dyDescent="0.25">
      <c r="B2183" s="483"/>
      <c r="C2183" s="484"/>
      <c r="D2183" s="68" t="s">
        <v>265</v>
      </c>
      <c r="E2183" s="339" t="s">
        <v>24</v>
      </c>
      <c r="F2183" s="337">
        <v>7.69</v>
      </c>
      <c r="G2183" s="337">
        <v>1.9</v>
      </c>
      <c r="H2183" s="391">
        <f t="shared" ref="H2183:H2194" si="144">G2183*F2183</f>
        <v>14.611000000000001</v>
      </c>
    </row>
    <row r="2184" spans="2:8" s="69" customFormat="1" ht="19.5" customHeight="1" x14ac:dyDescent="0.25">
      <c r="B2184" s="483"/>
      <c r="C2184" s="484"/>
      <c r="D2184" s="68" t="s">
        <v>266</v>
      </c>
      <c r="E2184" s="339" t="s">
        <v>24</v>
      </c>
      <c r="F2184" s="337">
        <v>27.73</v>
      </c>
      <c r="G2184" s="337">
        <v>6.75</v>
      </c>
      <c r="H2184" s="391">
        <f t="shared" si="144"/>
        <v>187.17750000000001</v>
      </c>
    </row>
    <row r="2185" spans="2:8" s="69" customFormat="1" ht="19.5" customHeight="1" x14ac:dyDescent="0.25">
      <c r="B2185" s="483"/>
      <c r="C2185" s="484"/>
      <c r="D2185" s="68" t="s">
        <v>267</v>
      </c>
      <c r="E2185" s="339" t="s">
        <v>24</v>
      </c>
      <c r="F2185" s="337">
        <v>7.91</v>
      </c>
      <c r="G2185" s="337">
        <v>3.8</v>
      </c>
      <c r="H2185" s="391">
        <f t="shared" si="144"/>
        <v>30.058</v>
      </c>
    </row>
    <row r="2186" spans="2:8" s="69" customFormat="1" ht="19.5" customHeight="1" x14ac:dyDescent="0.25">
      <c r="B2186" s="483"/>
      <c r="C2186" s="484"/>
      <c r="D2186" s="68" t="s">
        <v>268</v>
      </c>
      <c r="E2186" s="339" t="s">
        <v>24</v>
      </c>
      <c r="F2186" s="337">
        <v>1.5</v>
      </c>
      <c r="G2186" s="337">
        <v>6.65</v>
      </c>
      <c r="H2186" s="391">
        <f t="shared" si="144"/>
        <v>9.9750000000000014</v>
      </c>
    </row>
    <row r="2187" spans="2:8" s="69" customFormat="1" ht="19.5" customHeight="1" x14ac:dyDescent="0.25">
      <c r="B2187" s="483"/>
      <c r="C2187" s="484"/>
      <c r="D2187" s="68" t="s">
        <v>269</v>
      </c>
      <c r="E2187" s="339" t="s">
        <v>24</v>
      </c>
      <c r="F2187" s="337">
        <v>1.87</v>
      </c>
      <c r="G2187" s="337">
        <v>1.5</v>
      </c>
      <c r="H2187" s="391">
        <f t="shared" si="144"/>
        <v>2.8050000000000002</v>
      </c>
    </row>
    <row r="2188" spans="2:8" s="69" customFormat="1" ht="19.5" customHeight="1" x14ac:dyDescent="0.25">
      <c r="B2188" s="483"/>
      <c r="C2188" s="484"/>
      <c r="D2188" s="68" t="s">
        <v>270</v>
      </c>
      <c r="E2188" s="339" t="s">
        <v>24</v>
      </c>
      <c r="F2188" s="337">
        <v>1.5</v>
      </c>
      <c r="G2188" s="337">
        <v>10.3</v>
      </c>
      <c r="H2188" s="391">
        <f t="shared" si="144"/>
        <v>15.450000000000001</v>
      </c>
    </row>
    <row r="2189" spans="2:8" s="69" customFormat="1" ht="19.5" customHeight="1" x14ac:dyDescent="0.25">
      <c r="B2189" s="483"/>
      <c r="C2189" s="484"/>
      <c r="D2189" s="68" t="s">
        <v>271</v>
      </c>
      <c r="E2189" s="339" t="s">
        <v>24</v>
      </c>
      <c r="F2189" s="337">
        <v>3.88</v>
      </c>
      <c r="G2189" s="337">
        <v>1.5</v>
      </c>
      <c r="H2189" s="391">
        <f t="shared" si="144"/>
        <v>5.82</v>
      </c>
    </row>
    <row r="2190" spans="2:8" s="69" customFormat="1" ht="19.5" customHeight="1" x14ac:dyDescent="0.25">
      <c r="B2190" s="483"/>
      <c r="C2190" s="484"/>
      <c r="D2190" s="68" t="s">
        <v>272</v>
      </c>
      <c r="E2190" s="339" t="s">
        <v>24</v>
      </c>
      <c r="F2190" s="337">
        <v>1.5</v>
      </c>
      <c r="G2190" s="337">
        <v>6.5</v>
      </c>
      <c r="H2190" s="391">
        <f t="shared" si="144"/>
        <v>9.75</v>
      </c>
    </row>
    <row r="2191" spans="2:8" s="69" customFormat="1" ht="19.5" customHeight="1" x14ac:dyDescent="0.25">
      <c r="B2191" s="483"/>
      <c r="C2191" s="484"/>
      <c r="D2191" s="68" t="s">
        <v>273</v>
      </c>
      <c r="E2191" s="339" t="s">
        <v>24</v>
      </c>
      <c r="F2191" s="337">
        <v>8.6999999999999993</v>
      </c>
      <c r="G2191" s="337">
        <v>1</v>
      </c>
      <c r="H2191" s="391">
        <f t="shared" si="144"/>
        <v>8.6999999999999993</v>
      </c>
    </row>
    <row r="2192" spans="2:8" s="69" customFormat="1" ht="19.5" customHeight="1" x14ac:dyDescent="0.25">
      <c r="B2192" s="483"/>
      <c r="C2192" s="484"/>
      <c r="D2192" s="68" t="s">
        <v>274</v>
      </c>
      <c r="E2192" s="339" t="s">
        <v>24</v>
      </c>
      <c r="F2192" s="337">
        <v>0.5</v>
      </c>
      <c r="G2192" s="337">
        <v>5.31</v>
      </c>
      <c r="H2192" s="391">
        <f t="shared" si="144"/>
        <v>2.6549999999999998</v>
      </c>
    </row>
    <row r="2193" spans="2:8" s="69" customFormat="1" ht="19.5" customHeight="1" x14ac:dyDescent="0.25">
      <c r="B2193" s="483"/>
      <c r="C2193" s="484"/>
      <c r="D2193" s="68" t="s">
        <v>275</v>
      </c>
      <c r="E2193" s="339" t="s">
        <v>24</v>
      </c>
      <c r="F2193" s="337">
        <v>0.45</v>
      </c>
      <c r="G2193" s="337">
        <v>8.1999999999999993</v>
      </c>
      <c r="H2193" s="391">
        <f t="shared" si="144"/>
        <v>3.69</v>
      </c>
    </row>
    <row r="2194" spans="2:8" s="69" customFormat="1" ht="19.5" customHeight="1" x14ac:dyDescent="0.25">
      <c r="B2194" s="483"/>
      <c r="C2194" s="484"/>
      <c r="D2194" s="68" t="s">
        <v>276</v>
      </c>
      <c r="E2194" s="339" t="s">
        <v>24</v>
      </c>
      <c r="F2194" s="337">
        <v>8.1999999999999993</v>
      </c>
      <c r="G2194" s="337">
        <v>4.8099999999999996</v>
      </c>
      <c r="H2194" s="391">
        <f t="shared" si="144"/>
        <v>39.441999999999993</v>
      </c>
    </row>
    <row r="2195" spans="2:8" s="69" customFormat="1" ht="19.5" customHeight="1" x14ac:dyDescent="0.25">
      <c r="B2195" s="483"/>
      <c r="C2195" s="484"/>
      <c r="D2195" s="68" t="s">
        <v>277</v>
      </c>
      <c r="E2195" s="339" t="s">
        <v>24</v>
      </c>
      <c r="F2195" s="337">
        <v>7.5</v>
      </c>
      <c r="G2195" s="337">
        <v>4</v>
      </c>
      <c r="H2195" s="391">
        <f>-G2195*F2195</f>
        <v>-30</v>
      </c>
    </row>
    <row r="2196" spans="2:8" s="69" customFormat="1" ht="19.5" customHeight="1" x14ac:dyDescent="0.25">
      <c r="B2196" s="386" t="s">
        <v>1026</v>
      </c>
      <c r="C2196" s="163">
        <v>261008</v>
      </c>
      <c r="D2196" s="80" t="s">
        <v>1027</v>
      </c>
      <c r="E2196" s="162" t="s">
        <v>24</v>
      </c>
      <c r="F2196" s="330" t="s">
        <v>26</v>
      </c>
      <c r="G2196" s="330" t="s">
        <v>27</v>
      </c>
      <c r="H2196" s="387">
        <f>SUM(H2197:H2201)</f>
        <v>47.29999999999999</v>
      </c>
    </row>
    <row r="2197" spans="2:8" s="69" customFormat="1" ht="19.5" customHeight="1" x14ac:dyDescent="0.25">
      <c r="B2197" s="475"/>
      <c r="C2197" s="476"/>
      <c r="D2197" s="205" t="s">
        <v>1019</v>
      </c>
      <c r="E2197" s="339" t="s">
        <v>24</v>
      </c>
      <c r="F2197" s="337">
        <v>3.8</v>
      </c>
      <c r="G2197" s="337">
        <v>3.2</v>
      </c>
      <c r="H2197" s="391">
        <f>2*G2197*F2197</f>
        <v>24.32</v>
      </c>
    </row>
    <row r="2198" spans="2:8" s="69" customFormat="1" ht="19.5" customHeight="1" x14ac:dyDescent="0.25">
      <c r="B2198" s="479"/>
      <c r="C2198" s="480"/>
      <c r="D2198" s="205" t="s">
        <v>1020</v>
      </c>
      <c r="E2198" s="339" t="s">
        <v>24</v>
      </c>
      <c r="F2198" s="337">
        <v>1.5</v>
      </c>
      <c r="G2198" s="337">
        <v>2.5</v>
      </c>
      <c r="H2198" s="391">
        <f>2*G2198*F2198</f>
        <v>7.5</v>
      </c>
    </row>
    <row r="2199" spans="2:8" s="69" customFormat="1" ht="19.5" customHeight="1" x14ac:dyDescent="0.25">
      <c r="B2199" s="475"/>
      <c r="C2199" s="476"/>
      <c r="D2199" s="205" t="s">
        <v>1028</v>
      </c>
      <c r="E2199" s="339" t="s">
        <v>24</v>
      </c>
      <c r="F2199" s="337">
        <v>1.2</v>
      </c>
      <c r="G2199" s="337">
        <v>2.15</v>
      </c>
      <c r="H2199" s="391">
        <f t="shared" ref="H2199:H2201" si="145">2*G2199*F2199</f>
        <v>5.1599999999999993</v>
      </c>
    </row>
    <row r="2200" spans="2:8" s="69" customFormat="1" ht="19.5" customHeight="1" x14ac:dyDescent="0.25">
      <c r="B2200" s="477"/>
      <c r="C2200" s="478"/>
      <c r="D2200" s="205" t="s">
        <v>1029</v>
      </c>
      <c r="E2200" s="339" t="s">
        <v>24</v>
      </c>
      <c r="F2200" s="337">
        <v>1.2</v>
      </c>
      <c r="G2200" s="337">
        <v>2.15</v>
      </c>
      <c r="H2200" s="391">
        <f t="shared" si="145"/>
        <v>5.1599999999999993</v>
      </c>
    </row>
    <row r="2201" spans="2:8" s="69" customFormat="1" ht="19.5" customHeight="1" x14ac:dyDescent="0.25">
      <c r="B2201" s="479"/>
      <c r="C2201" s="480"/>
      <c r="D2201" s="205" t="s">
        <v>1155</v>
      </c>
      <c r="E2201" s="339" t="s">
        <v>24</v>
      </c>
      <c r="F2201" s="337">
        <v>1.2</v>
      </c>
      <c r="G2201" s="337">
        <v>2.15</v>
      </c>
      <c r="H2201" s="391">
        <f t="shared" si="145"/>
        <v>5.1599999999999993</v>
      </c>
    </row>
    <row r="2202" spans="2:8" s="69" customFormat="1" ht="19.5" customHeight="1" x14ac:dyDescent="0.25">
      <c r="B2202" s="386" t="s">
        <v>1030</v>
      </c>
      <c r="C2202" s="163">
        <v>261502</v>
      </c>
      <c r="D2202" s="80" t="s">
        <v>1031</v>
      </c>
      <c r="E2202" s="162" t="s">
        <v>24</v>
      </c>
      <c r="F2202" s="330" t="s">
        <v>26</v>
      </c>
      <c r="G2202" s="330" t="s">
        <v>27</v>
      </c>
      <c r="H2202" s="387">
        <f>SUM(H2203:H2204)</f>
        <v>31.82</v>
      </c>
    </row>
    <row r="2203" spans="2:8" s="69" customFormat="1" ht="19.5" customHeight="1" x14ac:dyDescent="0.25">
      <c r="B2203" s="475"/>
      <c r="C2203" s="476"/>
      <c r="D2203" s="205" t="s">
        <v>1284</v>
      </c>
      <c r="E2203" s="339" t="s">
        <v>24</v>
      </c>
      <c r="F2203" s="337">
        <v>3.8</v>
      </c>
      <c r="G2203" s="337">
        <v>3.2</v>
      </c>
      <c r="H2203" s="391">
        <f>2*G2203*F2203</f>
        <v>24.32</v>
      </c>
    </row>
    <row r="2204" spans="2:8" s="69" customFormat="1" ht="19.5" customHeight="1" x14ac:dyDescent="0.25">
      <c r="B2204" s="479"/>
      <c r="C2204" s="480"/>
      <c r="D2204" s="205" t="s">
        <v>1283</v>
      </c>
      <c r="E2204" s="339" t="s">
        <v>24</v>
      </c>
      <c r="F2204" s="337">
        <v>1.5</v>
      </c>
      <c r="G2204" s="337">
        <v>2.5</v>
      </c>
      <c r="H2204" s="391">
        <f>2*G2204*F2204</f>
        <v>7.5</v>
      </c>
    </row>
    <row r="2205" spans="2:8" s="69" customFormat="1" ht="19.5" customHeight="1" x14ac:dyDescent="0.25">
      <c r="B2205" s="386" t="s">
        <v>1032</v>
      </c>
      <c r="C2205" s="163">
        <v>261609</v>
      </c>
      <c r="D2205" s="80" t="s">
        <v>1285</v>
      </c>
      <c r="E2205" s="162" t="s">
        <v>24</v>
      </c>
      <c r="F2205" s="330" t="s">
        <v>26</v>
      </c>
      <c r="G2205" s="330" t="s">
        <v>27</v>
      </c>
      <c r="H2205" s="387">
        <f>SUM(H2206:H2226)</f>
        <v>378.84000000000003</v>
      </c>
    </row>
    <row r="2206" spans="2:8" s="69" customFormat="1" ht="19.5" customHeight="1" x14ac:dyDescent="0.25">
      <c r="B2206" s="475"/>
      <c r="C2206" s="476"/>
      <c r="D2206" s="205" t="s">
        <v>1028</v>
      </c>
      <c r="E2206" s="339" t="s">
        <v>24</v>
      </c>
      <c r="F2206" s="337">
        <v>1.2</v>
      </c>
      <c r="G2206" s="337">
        <v>2.15</v>
      </c>
      <c r="H2206" s="391">
        <f t="shared" ref="H2206:H2208" si="146">2*G2206*F2206</f>
        <v>5.1599999999999993</v>
      </c>
    </row>
    <row r="2207" spans="2:8" s="69" customFormat="1" ht="19.5" customHeight="1" x14ac:dyDescent="0.25">
      <c r="B2207" s="477"/>
      <c r="C2207" s="478"/>
      <c r="D2207" s="205" t="s">
        <v>1029</v>
      </c>
      <c r="E2207" s="339" t="s">
        <v>24</v>
      </c>
      <c r="F2207" s="337">
        <v>1.2</v>
      </c>
      <c r="G2207" s="337">
        <v>2.15</v>
      </c>
      <c r="H2207" s="391">
        <f t="shared" si="146"/>
        <v>5.1599999999999993</v>
      </c>
    </row>
    <row r="2208" spans="2:8" s="69" customFormat="1" ht="19.5" customHeight="1" x14ac:dyDescent="0.25">
      <c r="B2208" s="477"/>
      <c r="C2208" s="478"/>
      <c r="D2208" s="205" t="s">
        <v>1155</v>
      </c>
      <c r="E2208" s="339" t="s">
        <v>24</v>
      </c>
      <c r="F2208" s="337">
        <v>1.2</v>
      </c>
      <c r="G2208" s="337">
        <v>2.15</v>
      </c>
      <c r="H2208" s="429">
        <f t="shared" si="146"/>
        <v>5.1599999999999993</v>
      </c>
    </row>
    <row r="2209" spans="2:8" s="69" customFormat="1" ht="19.5" customHeight="1" x14ac:dyDescent="0.25">
      <c r="B2209" s="477"/>
      <c r="C2209" s="478"/>
      <c r="D2209" s="83" t="s">
        <v>1156</v>
      </c>
      <c r="E2209" s="67" t="s">
        <v>24</v>
      </c>
      <c r="F2209" s="331">
        <v>2</v>
      </c>
      <c r="G2209" s="331">
        <v>1.6</v>
      </c>
      <c r="H2209" s="402">
        <f>4*G2209*F2209*2</f>
        <v>25.6</v>
      </c>
    </row>
    <row r="2210" spans="2:8" s="69" customFormat="1" ht="19.5" customHeight="1" x14ac:dyDescent="0.25">
      <c r="B2210" s="477"/>
      <c r="C2210" s="478"/>
      <c r="D2210" s="83" t="s">
        <v>1165</v>
      </c>
      <c r="E2210" s="67" t="s">
        <v>24</v>
      </c>
      <c r="F2210" s="331">
        <v>2</v>
      </c>
      <c r="G2210" s="331">
        <v>1.6</v>
      </c>
      <c r="H2210" s="402">
        <f>4*G2210*F2210*2</f>
        <v>25.6</v>
      </c>
    </row>
    <row r="2211" spans="2:8" s="69" customFormat="1" ht="19.5" customHeight="1" x14ac:dyDescent="0.25">
      <c r="B2211" s="477"/>
      <c r="C2211" s="478"/>
      <c r="D2211" s="83" t="s">
        <v>1158</v>
      </c>
      <c r="E2211" s="67" t="s">
        <v>24</v>
      </c>
      <c r="F2211" s="331">
        <v>2</v>
      </c>
      <c r="G2211" s="331">
        <v>1.6</v>
      </c>
      <c r="H2211" s="402">
        <f>4*G2211*F2211*2</f>
        <v>25.6</v>
      </c>
    </row>
    <row r="2212" spans="2:8" s="69" customFormat="1" ht="19.5" customHeight="1" x14ac:dyDescent="0.25">
      <c r="B2212" s="477"/>
      <c r="C2212" s="478"/>
      <c r="D2212" s="83" t="s">
        <v>1157</v>
      </c>
      <c r="E2212" s="67" t="s">
        <v>24</v>
      </c>
      <c r="F2212" s="331">
        <v>2</v>
      </c>
      <c r="G2212" s="331">
        <v>1.6</v>
      </c>
      <c r="H2212" s="402">
        <f t="shared" ref="H2212" si="147">4*G2212*F2212</f>
        <v>12.8</v>
      </c>
    </row>
    <row r="2213" spans="2:8" s="69" customFormat="1" ht="19.5" customHeight="1" x14ac:dyDescent="0.25">
      <c r="B2213" s="477"/>
      <c r="C2213" s="478"/>
      <c r="D2213" s="83" t="s">
        <v>1189</v>
      </c>
      <c r="E2213" s="67" t="s">
        <v>24</v>
      </c>
      <c r="F2213" s="331">
        <v>2</v>
      </c>
      <c r="G2213" s="331">
        <v>1</v>
      </c>
      <c r="H2213" s="402">
        <f>4*G2213*F2213*2</f>
        <v>16</v>
      </c>
    </row>
    <row r="2214" spans="2:8" s="69" customFormat="1" ht="19.5" customHeight="1" x14ac:dyDescent="0.25">
      <c r="B2214" s="477"/>
      <c r="C2214" s="478"/>
      <c r="D2214" s="83" t="s">
        <v>1192</v>
      </c>
      <c r="E2214" s="67" t="s">
        <v>24</v>
      </c>
      <c r="F2214" s="331">
        <v>2</v>
      </c>
      <c r="G2214" s="331">
        <v>1.6</v>
      </c>
      <c r="H2214" s="402">
        <f>G2214*F2214*2</f>
        <v>6.4</v>
      </c>
    </row>
    <row r="2215" spans="2:8" s="69" customFormat="1" ht="19.5" customHeight="1" x14ac:dyDescent="0.25">
      <c r="B2215" s="477"/>
      <c r="C2215" s="478"/>
      <c r="D2215" s="83" t="s">
        <v>1191</v>
      </c>
      <c r="E2215" s="67" t="s">
        <v>24</v>
      </c>
      <c r="F2215" s="331">
        <v>2</v>
      </c>
      <c r="G2215" s="331">
        <v>1</v>
      </c>
      <c r="H2215" s="402">
        <f>4*G2215*F2215*2</f>
        <v>16</v>
      </c>
    </row>
    <row r="2216" spans="2:8" s="69" customFormat="1" ht="19.5" customHeight="1" x14ac:dyDescent="0.25">
      <c r="B2216" s="477"/>
      <c r="C2216" s="478"/>
      <c r="D2216" s="83" t="s">
        <v>1190</v>
      </c>
      <c r="E2216" s="67" t="s">
        <v>24</v>
      </c>
      <c r="F2216" s="331">
        <v>2</v>
      </c>
      <c r="G2216" s="331">
        <v>1.6</v>
      </c>
      <c r="H2216" s="402">
        <f>G2216*F2216*2</f>
        <v>6.4</v>
      </c>
    </row>
    <row r="2217" spans="2:8" s="69" customFormat="1" ht="19.5" customHeight="1" x14ac:dyDescent="0.25">
      <c r="B2217" s="477"/>
      <c r="C2217" s="478"/>
      <c r="D2217" s="83" t="s">
        <v>1166</v>
      </c>
      <c r="E2217" s="67" t="s">
        <v>24</v>
      </c>
      <c r="F2217" s="331">
        <v>2</v>
      </c>
      <c r="G2217" s="331">
        <v>1.6</v>
      </c>
      <c r="H2217" s="402">
        <f>2*G2217*F2217*2</f>
        <v>12.8</v>
      </c>
    </row>
    <row r="2218" spans="2:8" s="69" customFormat="1" ht="19.5" customHeight="1" x14ac:dyDescent="0.25">
      <c r="B2218" s="477"/>
      <c r="C2218" s="478"/>
      <c r="D2218" s="83" t="s">
        <v>1193</v>
      </c>
      <c r="E2218" s="67" t="s">
        <v>24</v>
      </c>
      <c r="F2218" s="331">
        <v>2.7</v>
      </c>
      <c r="G2218" s="331">
        <v>1.6</v>
      </c>
      <c r="H2218" s="402">
        <f>4*G2218*F2218*2</f>
        <v>34.56</v>
      </c>
    </row>
    <row r="2219" spans="2:8" s="69" customFormat="1" ht="19.5" customHeight="1" x14ac:dyDescent="0.25">
      <c r="B2219" s="477"/>
      <c r="C2219" s="478"/>
      <c r="D2219" s="83" t="s">
        <v>1194</v>
      </c>
      <c r="E2219" s="67" t="s">
        <v>24</v>
      </c>
      <c r="F2219" s="331">
        <v>2.7</v>
      </c>
      <c r="G2219" s="331">
        <v>1.6</v>
      </c>
      <c r="H2219" s="402">
        <f>G2219*F2219*6*2</f>
        <v>51.84</v>
      </c>
    </row>
    <row r="2220" spans="2:8" s="69" customFormat="1" ht="19.5" customHeight="1" x14ac:dyDescent="0.25">
      <c r="B2220" s="477"/>
      <c r="C2220" s="478"/>
      <c r="D2220" s="83" t="s">
        <v>1169</v>
      </c>
      <c r="E2220" s="67" t="s">
        <v>24</v>
      </c>
      <c r="F2220" s="331">
        <v>2</v>
      </c>
      <c r="G2220" s="331">
        <v>1.6</v>
      </c>
      <c r="H2220" s="402">
        <f>G2220*F2220*2</f>
        <v>6.4</v>
      </c>
    </row>
    <row r="2221" spans="2:8" s="69" customFormat="1" ht="19.5" customHeight="1" x14ac:dyDescent="0.25">
      <c r="B2221" s="477"/>
      <c r="C2221" s="478"/>
      <c r="D2221" s="83" t="s">
        <v>1170</v>
      </c>
      <c r="E2221" s="67" t="s">
        <v>24</v>
      </c>
      <c r="F2221" s="331">
        <v>2.6</v>
      </c>
      <c r="G2221" s="331">
        <v>1.6</v>
      </c>
      <c r="H2221" s="402">
        <f>G2221*F2221*2*2</f>
        <v>16.64</v>
      </c>
    </row>
    <row r="2222" spans="2:8" s="69" customFormat="1" ht="19.5" customHeight="1" x14ac:dyDescent="0.25">
      <c r="B2222" s="477"/>
      <c r="C2222" s="478"/>
      <c r="D2222" s="83" t="s">
        <v>1171</v>
      </c>
      <c r="E2222" s="67" t="s">
        <v>24</v>
      </c>
      <c r="F2222" s="331">
        <v>1.5</v>
      </c>
      <c r="G2222" s="331">
        <v>1.6</v>
      </c>
      <c r="H2222" s="402">
        <f>G2222*F2222*2</f>
        <v>4.8000000000000007</v>
      </c>
    </row>
    <row r="2223" spans="2:8" s="69" customFormat="1" ht="19.5" customHeight="1" x14ac:dyDescent="0.25">
      <c r="B2223" s="477"/>
      <c r="C2223" s="478"/>
      <c r="D2223" s="83" t="s">
        <v>1174</v>
      </c>
      <c r="E2223" s="67" t="s">
        <v>24</v>
      </c>
      <c r="F2223" s="331">
        <v>2.6</v>
      </c>
      <c r="G2223" s="331">
        <v>1.6</v>
      </c>
      <c r="H2223" s="402">
        <f>G2223*F2223*2</f>
        <v>8.32</v>
      </c>
    </row>
    <row r="2224" spans="2:8" s="69" customFormat="1" ht="19.5" customHeight="1" x14ac:dyDescent="0.25">
      <c r="B2224" s="477"/>
      <c r="C2224" s="478"/>
      <c r="D2224" s="83" t="s">
        <v>1195</v>
      </c>
      <c r="E2224" s="67" t="s">
        <v>24</v>
      </c>
      <c r="F2224" s="331">
        <v>2.6</v>
      </c>
      <c r="G2224" s="331">
        <v>1.5</v>
      </c>
      <c r="H2224" s="402">
        <f>4*G2224*F2224*2</f>
        <v>31.200000000000003</v>
      </c>
    </row>
    <row r="2225" spans="2:8" s="69" customFormat="1" ht="19.5" customHeight="1" x14ac:dyDescent="0.25">
      <c r="B2225" s="477"/>
      <c r="C2225" s="478"/>
      <c r="D2225" s="83" t="s">
        <v>1196</v>
      </c>
      <c r="E2225" s="67" t="s">
        <v>24</v>
      </c>
      <c r="F2225" s="331">
        <v>2.6</v>
      </c>
      <c r="G2225" s="331">
        <v>1.5</v>
      </c>
      <c r="H2225" s="402">
        <f>4*G2225*F2225*2</f>
        <v>31.200000000000003</v>
      </c>
    </row>
    <row r="2226" spans="2:8" s="69" customFormat="1" ht="19.5" customHeight="1" x14ac:dyDescent="0.25">
      <c r="B2226" s="479"/>
      <c r="C2226" s="480"/>
      <c r="D2226" s="83" t="s">
        <v>1176</v>
      </c>
      <c r="E2226" s="67" t="s">
        <v>24</v>
      </c>
      <c r="F2226" s="331">
        <v>2.6</v>
      </c>
      <c r="G2226" s="331">
        <v>1.5</v>
      </c>
      <c r="H2226" s="402">
        <f>4*G2226*F2226*2</f>
        <v>31.200000000000003</v>
      </c>
    </row>
    <row r="2227" spans="2:8" s="69" customFormat="1" ht="19.5" customHeight="1" x14ac:dyDescent="0.25">
      <c r="B2227" s="514" t="s">
        <v>218</v>
      </c>
      <c r="C2227" s="492"/>
      <c r="D2227" s="492"/>
      <c r="E2227" s="492"/>
      <c r="F2227" s="492"/>
      <c r="G2227" s="492"/>
      <c r="H2227" s="538"/>
    </row>
    <row r="2228" spans="2:8" s="69" customFormat="1" ht="19.5" customHeight="1" x14ac:dyDescent="0.25">
      <c r="B2228" s="425">
        <v>21</v>
      </c>
      <c r="C2228" s="181">
        <v>270000</v>
      </c>
      <c r="D2228" s="532" t="s">
        <v>88</v>
      </c>
      <c r="E2228" s="533"/>
      <c r="F2228" s="533"/>
      <c r="G2228" s="534"/>
      <c r="H2228" s="426" t="s">
        <v>6</v>
      </c>
    </row>
    <row r="2229" spans="2:8" s="69" customFormat="1" ht="19.5" customHeight="1" x14ac:dyDescent="0.25">
      <c r="B2229" s="386" t="s">
        <v>998</v>
      </c>
      <c r="C2229" s="163">
        <v>271701</v>
      </c>
      <c r="D2229" s="88" t="s">
        <v>326</v>
      </c>
      <c r="E2229" s="162" t="s">
        <v>24</v>
      </c>
      <c r="F2229" s="330" t="s">
        <v>26</v>
      </c>
      <c r="G2229" s="330" t="s">
        <v>27</v>
      </c>
      <c r="H2229" s="387">
        <f>H2230+H2231+H2232+H2233+H2234+H2235+H2236+H2242+H2247</f>
        <v>36.088949999999997</v>
      </c>
    </row>
    <row r="2230" spans="2:8" s="69" customFormat="1" ht="19.5" customHeight="1" x14ac:dyDescent="0.25">
      <c r="B2230" s="430"/>
      <c r="C2230" s="296"/>
      <c r="D2230" s="64" t="s">
        <v>327</v>
      </c>
      <c r="E2230" s="235" t="s">
        <v>24</v>
      </c>
      <c r="F2230" s="341">
        <v>0.56000000000000005</v>
      </c>
      <c r="G2230" s="341">
        <v>4.2</v>
      </c>
      <c r="H2230" s="431">
        <f>F2230*G2230</f>
        <v>2.3520000000000003</v>
      </c>
    </row>
    <row r="2231" spans="2:8" s="69" customFormat="1" ht="19.5" customHeight="1" x14ac:dyDescent="0.25">
      <c r="B2231" s="432"/>
      <c r="C2231" s="297"/>
      <c r="D2231" s="64" t="s">
        <v>328</v>
      </c>
      <c r="E2231" s="235" t="s">
        <v>24</v>
      </c>
      <c r="F2231" s="341">
        <v>1.99</v>
      </c>
      <c r="G2231" s="341">
        <v>0.61</v>
      </c>
      <c r="H2231" s="431">
        <f t="shared" ref="H2231:H2250" si="148">F2231*G2231</f>
        <v>1.2139</v>
      </c>
    </row>
    <row r="2232" spans="2:8" s="69" customFormat="1" ht="19.5" customHeight="1" x14ac:dyDescent="0.25">
      <c r="B2232" s="432"/>
      <c r="C2232" s="297"/>
      <c r="D2232" s="64" t="s">
        <v>329</v>
      </c>
      <c r="E2232" s="235" t="s">
        <v>24</v>
      </c>
      <c r="F2232" s="341">
        <v>0.54500000000000004</v>
      </c>
      <c r="G2232" s="341">
        <v>4.17</v>
      </c>
      <c r="H2232" s="431">
        <f t="shared" si="148"/>
        <v>2.2726500000000001</v>
      </c>
    </row>
    <row r="2233" spans="2:8" s="69" customFormat="1" ht="19.5" customHeight="1" x14ac:dyDescent="0.25">
      <c r="B2233" s="432"/>
      <c r="C2233" s="297"/>
      <c r="D2233" s="64" t="s">
        <v>330</v>
      </c>
      <c r="E2233" s="235" t="s">
        <v>24</v>
      </c>
      <c r="F2233" s="341">
        <v>0.56000000000000005</v>
      </c>
      <c r="G2233" s="341">
        <v>4.17</v>
      </c>
      <c r="H2233" s="431">
        <f t="shared" si="148"/>
        <v>2.3352000000000004</v>
      </c>
    </row>
    <row r="2234" spans="2:8" s="69" customFormat="1" ht="19.5" customHeight="1" x14ac:dyDescent="0.25">
      <c r="B2234" s="432"/>
      <c r="C2234" s="297"/>
      <c r="D2234" s="64" t="s">
        <v>331</v>
      </c>
      <c r="E2234" s="235" t="s">
        <v>24</v>
      </c>
      <c r="F2234" s="341">
        <v>1.99</v>
      </c>
      <c r="G2234" s="341">
        <v>0.6</v>
      </c>
      <c r="H2234" s="431">
        <f t="shared" si="148"/>
        <v>1.194</v>
      </c>
    </row>
    <row r="2235" spans="2:8" s="69" customFormat="1" ht="19.5" customHeight="1" x14ac:dyDescent="0.25">
      <c r="B2235" s="432"/>
      <c r="C2235" s="297"/>
      <c r="D2235" s="64" t="s">
        <v>332</v>
      </c>
      <c r="E2235" s="235" t="s">
        <v>24</v>
      </c>
      <c r="F2235" s="341">
        <v>0.56000000000000005</v>
      </c>
      <c r="G2235" s="341">
        <v>4.17</v>
      </c>
      <c r="H2235" s="431">
        <f t="shared" si="148"/>
        <v>2.3352000000000004</v>
      </c>
    </row>
    <row r="2236" spans="2:8" s="69" customFormat="1" ht="19.5" customHeight="1" x14ac:dyDescent="0.25">
      <c r="B2236" s="432"/>
      <c r="C2236" s="297"/>
      <c r="D2236" s="171" t="s">
        <v>212</v>
      </c>
      <c r="E2236" s="159" t="s">
        <v>24</v>
      </c>
      <c r="F2236" s="272" t="s">
        <v>26</v>
      </c>
      <c r="G2236" s="272" t="s">
        <v>27</v>
      </c>
      <c r="H2236" s="427">
        <f>SUM(H2237:H2241)</f>
        <v>11.589399999999999</v>
      </c>
    </row>
    <row r="2237" spans="2:8" s="69" customFormat="1" ht="19.5" customHeight="1" x14ac:dyDescent="0.25">
      <c r="B2237" s="432"/>
      <c r="C2237" s="297"/>
      <c r="D2237" s="64" t="s">
        <v>333</v>
      </c>
      <c r="E2237" s="235" t="s">
        <v>24</v>
      </c>
      <c r="F2237" s="341">
        <v>0.62</v>
      </c>
      <c r="G2237" s="341">
        <v>3.27</v>
      </c>
      <c r="H2237" s="431">
        <f t="shared" si="148"/>
        <v>2.0274000000000001</v>
      </c>
    </row>
    <row r="2238" spans="2:8" s="69" customFormat="1" ht="19.5" customHeight="1" x14ac:dyDescent="0.25">
      <c r="B2238" s="432"/>
      <c r="C2238" s="297"/>
      <c r="D2238" s="64" t="s">
        <v>334</v>
      </c>
      <c r="E2238" s="235" t="s">
        <v>24</v>
      </c>
      <c r="F2238" s="341">
        <v>2.5</v>
      </c>
      <c r="G2238" s="341">
        <v>0.6</v>
      </c>
      <c r="H2238" s="431">
        <f t="shared" si="148"/>
        <v>1.5</v>
      </c>
    </row>
    <row r="2239" spans="2:8" s="69" customFormat="1" ht="19.5" customHeight="1" x14ac:dyDescent="0.25">
      <c r="B2239" s="432"/>
      <c r="C2239" s="297"/>
      <c r="D2239" s="64" t="s">
        <v>335</v>
      </c>
      <c r="E2239" s="235" t="s">
        <v>24</v>
      </c>
      <c r="F2239" s="341">
        <v>4.0999999999999996</v>
      </c>
      <c r="G2239" s="341">
        <v>0.5</v>
      </c>
      <c r="H2239" s="431">
        <f t="shared" si="148"/>
        <v>2.0499999999999998</v>
      </c>
    </row>
    <row r="2240" spans="2:8" s="69" customFormat="1" ht="19.5" customHeight="1" x14ac:dyDescent="0.25">
      <c r="B2240" s="432"/>
      <c r="C2240" s="297"/>
      <c r="D2240" s="64" t="s">
        <v>342</v>
      </c>
      <c r="E2240" s="235" t="s">
        <v>24</v>
      </c>
      <c r="F2240" s="341">
        <v>0.6</v>
      </c>
      <c r="G2240" s="341">
        <v>6.9</v>
      </c>
      <c r="H2240" s="431">
        <f t="shared" si="148"/>
        <v>4.1399999999999997</v>
      </c>
    </row>
    <row r="2241" spans="2:8" s="69" customFormat="1" ht="19.5" customHeight="1" x14ac:dyDescent="0.25">
      <c r="B2241" s="432"/>
      <c r="C2241" s="297"/>
      <c r="D2241" s="64" t="s">
        <v>343</v>
      </c>
      <c r="E2241" s="235" t="s">
        <v>24</v>
      </c>
      <c r="F2241" s="341">
        <v>3.12</v>
      </c>
      <c r="G2241" s="341">
        <v>0.6</v>
      </c>
      <c r="H2241" s="431">
        <f t="shared" si="148"/>
        <v>1.8719999999999999</v>
      </c>
    </row>
    <row r="2242" spans="2:8" s="69" customFormat="1" ht="19.5" customHeight="1" x14ac:dyDescent="0.25">
      <c r="B2242" s="432"/>
      <c r="C2242" s="297"/>
      <c r="D2242" s="171" t="s">
        <v>336</v>
      </c>
      <c r="E2242" s="159" t="s">
        <v>24</v>
      </c>
      <c r="F2242" s="272" t="s">
        <v>26</v>
      </c>
      <c r="G2242" s="272" t="s">
        <v>27</v>
      </c>
      <c r="H2242" s="427">
        <f>SUM(H2243:H2246)</f>
        <v>6.1920000000000002</v>
      </c>
    </row>
    <row r="2243" spans="2:8" s="69" customFormat="1" ht="19.5" customHeight="1" x14ac:dyDescent="0.25">
      <c r="B2243" s="433"/>
      <c r="C2243" s="298"/>
      <c r="D2243" s="64" t="s">
        <v>337</v>
      </c>
      <c r="E2243" s="235" t="s">
        <v>24</v>
      </c>
      <c r="F2243" s="341">
        <v>1.47</v>
      </c>
      <c r="G2243" s="341">
        <v>0.6</v>
      </c>
      <c r="H2243" s="431">
        <f t="shared" si="148"/>
        <v>0.88200000000000001</v>
      </c>
    </row>
    <row r="2244" spans="2:8" s="69" customFormat="1" ht="19.5" customHeight="1" x14ac:dyDescent="0.25">
      <c r="B2244" s="578"/>
      <c r="C2244" s="579"/>
      <c r="D2244" s="64" t="s">
        <v>338</v>
      </c>
      <c r="E2244" s="235" t="s">
        <v>24</v>
      </c>
      <c r="F2244" s="341">
        <v>0.6</v>
      </c>
      <c r="G2244" s="341">
        <v>4.1100000000000003</v>
      </c>
      <c r="H2244" s="431">
        <f>F2244*G2244</f>
        <v>2.4660000000000002</v>
      </c>
    </row>
    <row r="2245" spans="2:8" s="69" customFormat="1" ht="19.5" customHeight="1" x14ac:dyDescent="0.25">
      <c r="B2245" s="580"/>
      <c r="C2245" s="581"/>
      <c r="D2245" s="64" t="s">
        <v>339</v>
      </c>
      <c r="E2245" s="235" t="s">
        <v>24</v>
      </c>
      <c r="F2245" s="341">
        <v>2.44</v>
      </c>
      <c r="G2245" s="341">
        <v>0.6</v>
      </c>
      <c r="H2245" s="431">
        <f t="shared" si="148"/>
        <v>1.464</v>
      </c>
    </row>
    <row r="2246" spans="2:8" s="69" customFormat="1" ht="19.5" customHeight="1" x14ac:dyDescent="0.25">
      <c r="B2246" s="580"/>
      <c r="C2246" s="581"/>
      <c r="D2246" s="64" t="s">
        <v>344</v>
      </c>
      <c r="E2246" s="235" t="s">
        <v>24</v>
      </c>
      <c r="F2246" s="341">
        <v>0.6</v>
      </c>
      <c r="G2246" s="341">
        <v>2.2999999999999998</v>
      </c>
      <c r="H2246" s="431">
        <f t="shared" si="148"/>
        <v>1.38</v>
      </c>
    </row>
    <row r="2247" spans="2:8" s="69" customFormat="1" ht="19.5" customHeight="1" x14ac:dyDescent="0.25">
      <c r="B2247" s="580"/>
      <c r="C2247" s="581"/>
      <c r="D2247" s="171" t="s">
        <v>347</v>
      </c>
      <c r="E2247" s="159" t="s">
        <v>24</v>
      </c>
      <c r="F2247" s="272" t="s">
        <v>26</v>
      </c>
      <c r="G2247" s="272" t="s">
        <v>27</v>
      </c>
      <c r="H2247" s="427">
        <f>SUM(H2248:H2250)</f>
        <v>6.6046000000000005</v>
      </c>
    </row>
    <row r="2248" spans="2:8" s="69" customFormat="1" ht="19.5" customHeight="1" x14ac:dyDescent="0.25">
      <c r="B2248" s="580"/>
      <c r="C2248" s="581"/>
      <c r="D2248" s="64" t="s">
        <v>345</v>
      </c>
      <c r="E2248" s="235" t="s">
        <v>24</v>
      </c>
      <c r="F2248" s="341">
        <v>0.7</v>
      </c>
      <c r="G2248" s="341">
        <v>3.93</v>
      </c>
      <c r="H2248" s="431">
        <f t="shared" si="148"/>
        <v>2.7509999999999999</v>
      </c>
    </row>
    <row r="2249" spans="2:8" s="69" customFormat="1" ht="19.5" customHeight="1" x14ac:dyDescent="0.25">
      <c r="B2249" s="580"/>
      <c r="C2249" s="581"/>
      <c r="D2249" s="64" t="s">
        <v>346</v>
      </c>
      <c r="E2249" s="235" t="s">
        <v>24</v>
      </c>
      <c r="F2249" s="341">
        <v>3.02</v>
      </c>
      <c r="G2249" s="341">
        <v>0.68</v>
      </c>
      <c r="H2249" s="431">
        <f t="shared" si="148"/>
        <v>2.0536000000000003</v>
      </c>
    </row>
    <row r="2250" spans="2:8" s="69" customFormat="1" ht="19.5" customHeight="1" x14ac:dyDescent="0.25">
      <c r="B2250" s="582"/>
      <c r="C2250" s="583"/>
      <c r="D2250" s="64" t="s">
        <v>348</v>
      </c>
      <c r="E2250" s="235" t="s">
        <v>24</v>
      </c>
      <c r="F2250" s="341">
        <v>3</v>
      </c>
      <c r="G2250" s="341">
        <v>0.6</v>
      </c>
      <c r="H2250" s="431">
        <f t="shared" si="148"/>
        <v>1.7999999999999998</v>
      </c>
    </row>
    <row r="2251" spans="2:8" s="69" customFormat="1" ht="15.75" x14ac:dyDescent="0.25">
      <c r="B2251" s="386" t="s">
        <v>999</v>
      </c>
      <c r="C2251" s="163">
        <v>270210</v>
      </c>
      <c r="D2251" s="144" t="s">
        <v>368</v>
      </c>
      <c r="E2251" s="162" t="s">
        <v>24</v>
      </c>
      <c r="F2251" s="330" t="s">
        <v>26</v>
      </c>
      <c r="G2251" s="330" t="s">
        <v>27</v>
      </c>
      <c r="H2251" s="387">
        <f>SUM(H2252:H2262)</f>
        <v>459.27087500000005</v>
      </c>
    </row>
    <row r="2252" spans="2:8" s="69" customFormat="1" ht="19.5" customHeight="1" x14ac:dyDescent="0.25">
      <c r="B2252" s="471"/>
      <c r="C2252" s="472"/>
      <c r="D2252" s="64" t="s">
        <v>369</v>
      </c>
      <c r="E2252" s="235" t="s">
        <v>24</v>
      </c>
      <c r="F2252" s="341">
        <v>7.5</v>
      </c>
      <c r="G2252" s="341">
        <v>4.1500000000000004</v>
      </c>
      <c r="H2252" s="431">
        <f>G2252*F2252</f>
        <v>31.125000000000004</v>
      </c>
    </row>
    <row r="2253" spans="2:8" s="69" customFormat="1" ht="19.5" customHeight="1" x14ac:dyDescent="0.25">
      <c r="B2253" s="471"/>
      <c r="C2253" s="472"/>
      <c r="D2253" s="64" t="s">
        <v>370</v>
      </c>
      <c r="E2253" s="235" t="s">
        <v>24</v>
      </c>
      <c r="F2253" s="341">
        <v>27.75</v>
      </c>
      <c r="G2253" s="341">
        <v>1.42</v>
      </c>
      <c r="H2253" s="431">
        <f t="shared" ref="H2253:H2262" si="149">G2253*F2253</f>
        <v>39.405000000000001</v>
      </c>
    </row>
    <row r="2254" spans="2:8" s="69" customFormat="1" ht="19.5" customHeight="1" x14ac:dyDescent="0.25">
      <c r="B2254" s="471"/>
      <c r="C2254" s="472"/>
      <c r="D2254" s="64" t="s">
        <v>371</v>
      </c>
      <c r="E2254" s="235" t="s">
        <v>24</v>
      </c>
      <c r="F2254" s="341">
        <v>1.87</v>
      </c>
      <c r="G2254" s="341">
        <v>5</v>
      </c>
      <c r="H2254" s="431">
        <f t="shared" si="149"/>
        <v>9.3500000000000014</v>
      </c>
    </row>
    <row r="2255" spans="2:8" s="69" customFormat="1" ht="19.5" customHeight="1" x14ac:dyDescent="0.25">
      <c r="B2255" s="471"/>
      <c r="C2255" s="472"/>
      <c r="D2255" s="64" t="s">
        <v>372</v>
      </c>
      <c r="E2255" s="235" t="s">
        <v>24</v>
      </c>
      <c r="F2255" s="341">
        <v>3.92</v>
      </c>
      <c r="G2255" s="341">
        <f>4.97+3.75</f>
        <v>8.7199999999999989</v>
      </c>
      <c r="H2255" s="431">
        <f t="shared" si="149"/>
        <v>34.182399999999994</v>
      </c>
    </row>
    <row r="2256" spans="2:8" s="69" customFormat="1" ht="19.5" customHeight="1" x14ac:dyDescent="0.25">
      <c r="B2256" s="471"/>
      <c r="C2256" s="472"/>
      <c r="D2256" s="64" t="s">
        <v>373</v>
      </c>
      <c r="E2256" s="235" t="s">
        <v>24</v>
      </c>
      <c r="F2256" s="341">
        <v>2.36</v>
      </c>
      <c r="G2256" s="341">
        <v>1.36</v>
      </c>
      <c r="H2256" s="431">
        <f t="shared" si="149"/>
        <v>3.2096</v>
      </c>
    </row>
    <row r="2257" spans="2:8" s="69" customFormat="1" ht="19.5" customHeight="1" x14ac:dyDescent="0.25">
      <c r="B2257" s="471"/>
      <c r="C2257" s="472"/>
      <c r="D2257" s="64" t="s">
        <v>374</v>
      </c>
      <c r="E2257" s="235" t="s">
        <v>24</v>
      </c>
      <c r="F2257" s="341">
        <v>16.27</v>
      </c>
      <c r="G2257" s="341">
        <v>3.97</v>
      </c>
      <c r="H2257" s="431">
        <f t="shared" si="149"/>
        <v>64.591899999999995</v>
      </c>
    </row>
    <row r="2258" spans="2:8" s="69" customFormat="1" ht="19.5" customHeight="1" x14ac:dyDescent="0.25">
      <c r="B2258" s="471"/>
      <c r="C2258" s="472"/>
      <c r="D2258" s="64" t="s">
        <v>375</v>
      </c>
      <c r="E2258" s="235" t="s">
        <v>24</v>
      </c>
      <c r="F2258" s="341">
        <v>6.7</v>
      </c>
      <c r="G2258" s="341">
        <v>4</v>
      </c>
      <c r="H2258" s="431">
        <f t="shared" si="149"/>
        <v>26.8</v>
      </c>
    </row>
    <row r="2259" spans="2:8" s="69" customFormat="1" ht="19.5" customHeight="1" x14ac:dyDescent="0.25">
      <c r="B2259" s="471"/>
      <c r="C2259" s="472"/>
      <c r="D2259" s="64" t="s">
        <v>376</v>
      </c>
      <c r="E2259" s="235" t="s">
        <v>24</v>
      </c>
      <c r="F2259" s="341">
        <v>3.11</v>
      </c>
      <c r="G2259" s="341">
        <v>30.47</v>
      </c>
      <c r="H2259" s="431">
        <f t="shared" si="149"/>
        <v>94.76169999999999</v>
      </c>
    </row>
    <row r="2260" spans="2:8" s="69" customFormat="1" ht="15" x14ac:dyDescent="0.25">
      <c r="B2260" s="471"/>
      <c r="C2260" s="472"/>
      <c r="D2260" s="64" t="s">
        <v>377</v>
      </c>
      <c r="E2260" s="235" t="s">
        <v>24</v>
      </c>
      <c r="F2260" s="341">
        <v>48.54</v>
      </c>
      <c r="G2260" s="341">
        <v>2</v>
      </c>
      <c r="H2260" s="431">
        <f t="shared" si="149"/>
        <v>97.08</v>
      </c>
    </row>
    <row r="2261" spans="2:8" s="69" customFormat="1" ht="19.5" customHeight="1" x14ac:dyDescent="0.25">
      <c r="B2261" s="471"/>
      <c r="C2261" s="472"/>
      <c r="D2261" s="64" t="s">
        <v>378</v>
      </c>
      <c r="E2261" s="235" t="s">
        <v>24</v>
      </c>
      <c r="F2261" s="341">
        <v>1.7450000000000001</v>
      </c>
      <c r="G2261" s="341">
        <v>9.1950000000000003</v>
      </c>
      <c r="H2261" s="431">
        <f t="shared" si="149"/>
        <v>16.045275</v>
      </c>
    </row>
    <row r="2262" spans="2:8" s="69" customFormat="1" ht="19.5" customHeight="1" x14ac:dyDescent="0.25">
      <c r="B2262" s="471"/>
      <c r="C2262" s="472"/>
      <c r="D2262" s="64" t="s">
        <v>379</v>
      </c>
      <c r="E2262" s="235" t="s">
        <v>24</v>
      </c>
      <c r="F2262" s="341">
        <v>7.12</v>
      </c>
      <c r="G2262" s="341">
        <v>6</v>
      </c>
      <c r="H2262" s="431">
        <f t="shared" si="149"/>
        <v>42.72</v>
      </c>
    </row>
    <row r="2263" spans="2:8" s="69" customFormat="1" ht="15.75" x14ac:dyDescent="0.25">
      <c r="B2263" s="386" t="s">
        <v>1000</v>
      </c>
      <c r="C2263" s="163">
        <v>270802</v>
      </c>
      <c r="D2263" s="144" t="s">
        <v>214</v>
      </c>
      <c r="E2263" s="162" t="s">
        <v>215</v>
      </c>
      <c r="F2263" s="485" t="s">
        <v>43</v>
      </c>
      <c r="G2263" s="486"/>
      <c r="H2263" s="387">
        <f>H2264</f>
        <v>1</v>
      </c>
    </row>
    <row r="2264" spans="2:8" s="69" customFormat="1" ht="19.5" customHeight="1" x14ac:dyDescent="0.25">
      <c r="B2264" s="434"/>
      <c r="C2264" s="344"/>
      <c r="D2264" s="70" t="s">
        <v>1016</v>
      </c>
      <c r="E2264" s="235" t="s">
        <v>1015</v>
      </c>
      <c r="F2264" s="543">
        <v>1</v>
      </c>
      <c r="G2264" s="543"/>
      <c r="H2264" s="392">
        <f>F2264</f>
        <v>1</v>
      </c>
    </row>
    <row r="2265" spans="2:8" s="69" customFormat="1" ht="15.75" x14ac:dyDescent="0.25">
      <c r="B2265" s="386" t="s">
        <v>1001</v>
      </c>
      <c r="C2265" s="163">
        <v>270501</v>
      </c>
      <c r="D2265" s="144" t="s">
        <v>96</v>
      </c>
      <c r="E2265" s="162" t="s">
        <v>24</v>
      </c>
      <c r="F2265" s="485" t="s">
        <v>747</v>
      </c>
      <c r="G2265" s="486"/>
      <c r="H2265" s="387">
        <f>F2266</f>
        <v>1667.51</v>
      </c>
    </row>
    <row r="2266" spans="2:8" s="69" customFormat="1" ht="19.5" customHeight="1" x14ac:dyDescent="0.25">
      <c r="B2266" s="434"/>
      <c r="C2266" s="344"/>
      <c r="D2266" s="70" t="s">
        <v>107</v>
      </c>
      <c r="E2266" s="235" t="s">
        <v>24</v>
      </c>
      <c r="F2266" s="543">
        <v>1667.51</v>
      </c>
      <c r="G2266" s="543"/>
      <c r="H2266" s="392">
        <f>F2266</f>
        <v>1667.51</v>
      </c>
    </row>
    <row r="2267" spans="2:8" s="69" customFormat="1" ht="15.75" x14ac:dyDescent="0.25">
      <c r="B2267" s="386" t="s">
        <v>1002</v>
      </c>
      <c r="C2267" s="163">
        <v>270810</v>
      </c>
      <c r="D2267" s="144" t="s">
        <v>97</v>
      </c>
      <c r="E2267" s="162" t="s">
        <v>16</v>
      </c>
      <c r="F2267" s="485" t="s">
        <v>43</v>
      </c>
      <c r="G2267" s="486"/>
      <c r="H2267" s="387">
        <f>H2268</f>
        <v>1</v>
      </c>
    </row>
    <row r="2268" spans="2:8" s="69" customFormat="1" ht="15.75" x14ac:dyDescent="0.25">
      <c r="B2268" s="435"/>
      <c r="C2268" s="335"/>
      <c r="D2268" s="206" t="s">
        <v>1197</v>
      </c>
      <c r="E2268" s="329" t="s">
        <v>340</v>
      </c>
      <c r="F2268" s="506">
        <v>1</v>
      </c>
      <c r="G2268" s="507"/>
      <c r="H2268" s="391">
        <f>F2268</f>
        <v>1</v>
      </c>
    </row>
    <row r="2269" spans="2:8" s="69" customFormat="1" ht="15.75" x14ac:dyDescent="0.25">
      <c r="B2269" s="386" t="s">
        <v>1003</v>
      </c>
      <c r="C2269" s="163">
        <v>270701</v>
      </c>
      <c r="D2269" s="144" t="s">
        <v>1060</v>
      </c>
      <c r="E2269" s="162" t="s">
        <v>29</v>
      </c>
      <c r="F2269" s="485" t="s">
        <v>26</v>
      </c>
      <c r="G2269" s="486"/>
      <c r="H2269" s="387">
        <f>H2270</f>
        <v>8.5</v>
      </c>
    </row>
    <row r="2270" spans="2:8" s="69" customFormat="1" ht="15.75" x14ac:dyDescent="0.25">
      <c r="B2270" s="564"/>
      <c r="C2270" s="565"/>
      <c r="D2270" s="206" t="s">
        <v>1061</v>
      </c>
      <c r="E2270" s="339" t="s">
        <v>29</v>
      </c>
      <c r="F2270" s="506">
        <v>8.5</v>
      </c>
      <c r="G2270" s="507"/>
      <c r="H2270" s="391">
        <f>F2270</f>
        <v>8.5</v>
      </c>
    </row>
    <row r="2271" spans="2:8" s="69" customFormat="1" ht="15.75" x14ac:dyDescent="0.25">
      <c r="B2271" s="386" t="s">
        <v>1059</v>
      </c>
      <c r="C2271" s="163" t="s">
        <v>1182</v>
      </c>
      <c r="D2271" s="144" t="s">
        <v>1183</v>
      </c>
      <c r="E2271" s="162" t="s">
        <v>24</v>
      </c>
      <c r="F2271" s="330" t="s">
        <v>26</v>
      </c>
      <c r="G2271" s="330" t="s">
        <v>31</v>
      </c>
      <c r="H2271" s="387">
        <f>SUM(H2272:H2275)</f>
        <v>2.4000000000000004</v>
      </c>
    </row>
    <row r="2272" spans="2:8" s="69" customFormat="1" ht="15" x14ac:dyDescent="0.25">
      <c r="B2272" s="471"/>
      <c r="C2272" s="472"/>
      <c r="D2272" s="206" t="s">
        <v>1184</v>
      </c>
      <c r="E2272" s="235" t="s">
        <v>24</v>
      </c>
      <c r="F2272" s="341">
        <v>0.4</v>
      </c>
      <c r="G2272" s="341">
        <v>0.5</v>
      </c>
      <c r="H2272" s="391">
        <f>3*G2272*F2272</f>
        <v>0.60000000000000009</v>
      </c>
    </row>
    <row r="2273" spans="1:8" s="69" customFormat="1" ht="15" x14ac:dyDescent="0.25">
      <c r="B2273" s="471"/>
      <c r="C2273" s="472"/>
      <c r="D2273" s="206" t="s">
        <v>1185</v>
      </c>
      <c r="E2273" s="235" t="s">
        <v>24</v>
      </c>
      <c r="F2273" s="341">
        <v>0.4</v>
      </c>
      <c r="G2273" s="341">
        <v>0.5</v>
      </c>
      <c r="H2273" s="391">
        <f t="shared" ref="H2273:H2275" si="150">3*G2273*F2273</f>
        <v>0.60000000000000009</v>
      </c>
    </row>
    <row r="2274" spans="1:8" s="65" customFormat="1" ht="20.100000000000001" customHeight="1" x14ac:dyDescent="0.25">
      <c r="A2274" s="69"/>
      <c r="B2274" s="471"/>
      <c r="C2274" s="472"/>
      <c r="D2274" s="71" t="s">
        <v>315</v>
      </c>
      <c r="E2274" s="235" t="s">
        <v>24</v>
      </c>
      <c r="F2274" s="341">
        <v>0.4</v>
      </c>
      <c r="G2274" s="341">
        <v>0.5</v>
      </c>
      <c r="H2274" s="391">
        <f t="shared" si="150"/>
        <v>0.60000000000000009</v>
      </c>
    </row>
    <row r="2275" spans="1:8" s="65" customFormat="1" ht="20.100000000000001" customHeight="1" x14ac:dyDescent="0.25">
      <c r="A2275" s="69"/>
      <c r="B2275" s="471"/>
      <c r="C2275" s="472"/>
      <c r="D2275" s="71" t="s">
        <v>316</v>
      </c>
      <c r="E2275" s="235" t="s">
        <v>24</v>
      </c>
      <c r="F2275" s="341">
        <v>0.4</v>
      </c>
      <c r="G2275" s="341">
        <v>0.5</v>
      </c>
      <c r="H2275" s="391">
        <f t="shared" si="150"/>
        <v>0.60000000000000009</v>
      </c>
    </row>
    <row r="2276" spans="1:8" s="69" customFormat="1" ht="15.75" x14ac:dyDescent="0.25">
      <c r="B2276" s="386" t="s">
        <v>1186</v>
      </c>
      <c r="C2276" s="163">
        <v>271303</v>
      </c>
      <c r="D2276" s="144" t="s">
        <v>1228</v>
      </c>
      <c r="E2276" s="162" t="s">
        <v>29</v>
      </c>
      <c r="F2276" s="485">
        <v>2</v>
      </c>
      <c r="G2276" s="486"/>
      <c r="H2276" s="387">
        <f>SUM(H2277:H2279)</f>
        <v>9.6</v>
      </c>
    </row>
    <row r="2277" spans="1:8" s="69" customFormat="1" ht="15" x14ac:dyDescent="0.25">
      <c r="B2277" s="471"/>
      <c r="C2277" s="472"/>
      <c r="D2277" s="206" t="s">
        <v>1229</v>
      </c>
      <c r="E2277" s="235" t="s">
        <v>29</v>
      </c>
      <c r="F2277" s="572">
        <v>3.3</v>
      </c>
      <c r="G2277" s="573"/>
      <c r="H2277" s="391">
        <f>F2277</f>
        <v>3.3</v>
      </c>
    </row>
    <row r="2278" spans="1:8" s="69" customFormat="1" ht="15" x14ac:dyDescent="0.25">
      <c r="B2278" s="471"/>
      <c r="C2278" s="472"/>
      <c r="D2278" s="206" t="s">
        <v>1230</v>
      </c>
      <c r="E2278" s="235" t="s">
        <v>29</v>
      </c>
      <c r="F2278" s="572">
        <v>3.3</v>
      </c>
      <c r="G2278" s="573"/>
      <c r="H2278" s="391">
        <f t="shared" ref="H2278:H2279" si="151">F2278</f>
        <v>3.3</v>
      </c>
    </row>
    <row r="2279" spans="1:8" s="65" customFormat="1" ht="20.100000000000001" customHeight="1" x14ac:dyDescent="0.25">
      <c r="A2279" s="69"/>
      <c r="B2279" s="471"/>
      <c r="C2279" s="472"/>
      <c r="D2279" s="71" t="s">
        <v>1231</v>
      </c>
      <c r="E2279" s="235" t="s">
        <v>29</v>
      </c>
      <c r="F2279" s="572">
        <v>3</v>
      </c>
      <c r="G2279" s="573"/>
      <c r="H2279" s="391">
        <f t="shared" si="151"/>
        <v>3</v>
      </c>
    </row>
    <row r="2280" spans="1:8" s="69" customFormat="1" ht="15.75" x14ac:dyDescent="0.25">
      <c r="B2280" s="386" t="s">
        <v>1227</v>
      </c>
      <c r="C2280" s="163" t="s">
        <v>1239</v>
      </c>
      <c r="D2280" s="144" t="s">
        <v>1240</v>
      </c>
      <c r="E2280" s="162" t="s">
        <v>24</v>
      </c>
      <c r="F2280" s="330" t="s">
        <v>26</v>
      </c>
      <c r="G2280" s="330" t="s">
        <v>27</v>
      </c>
      <c r="H2280" s="387">
        <f>SUM(H2281:H2283)</f>
        <v>4.59</v>
      </c>
    </row>
    <row r="2281" spans="1:8" s="69" customFormat="1" ht="15" x14ac:dyDescent="0.25">
      <c r="B2281" s="570"/>
      <c r="C2281" s="571"/>
      <c r="D2281" s="206" t="s">
        <v>147</v>
      </c>
      <c r="E2281" s="235" t="s">
        <v>24</v>
      </c>
      <c r="F2281" s="341">
        <f>2.08+2.94+1.84+2.32</f>
        <v>9.18</v>
      </c>
      <c r="G2281" s="341">
        <v>0.5</v>
      </c>
      <c r="H2281" s="391">
        <f>G2281*F2281</f>
        <v>4.59</v>
      </c>
    </row>
    <row r="2282" spans="1:8" s="65" customFormat="1" ht="20.100000000000001" customHeight="1" x14ac:dyDescent="0.25">
      <c r="B2282" s="29"/>
      <c r="C2282" s="30"/>
      <c r="D2282" s="17"/>
      <c r="E2282" s="13"/>
      <c r="F2282" s="151"/>
      <c r="G2282" s="151"/>
      <c r="H2282" s="436"/>
    </row>
    <row r="2283" spans="1:8" s="65" customFormat="1" ht="20.100000000000001" customHeight="1" x14ac:dyDescent="0.25">
      <c r="B2283" s="29"/>
      <c r="C2283" s="30"/>
      <c r="D2283" s="332" t="s">
        <v>1262</v>
      </c>
      <c r="E2283" s="332"/>
      <c r="F2283" s="332"/>
      <c r="G2283" s="437"/>
      <c r="H2283" s="438"/>
    </row>
    <row r="2284" spans="1:8" s="65" customFormat="1" ht="20.100000000000001" customHeight="1" x14ac:dyDescent="0.25">
      <c r="B2284" s="29"/>
      <c r="C2284" s="30"/>
      <c r="D2284" s="333" t="s">
        <v>10</v>
      </c>
      <c r="E2284" s="374"/>
      <c r="F2284" s="374"/>
      <c r="G2284" s="254"/>
      <c r="H2284" s="439"/>
    </row>
    <row r="2285" spans="1:8" s="65" customFormat="1" ht="20.100000000000001" customHeight="1" x14ac:dyDescent="0.25">
      <c r="B2285" s="29"/>
      <c r="C2285" s="30"/>
      <c r="D2285" s="333" t="s">
        <v>1264</v>
      </c>
      <c r="E2285" s="374"/>
      <c r="F2285" s="374"/>
      <c r="G2285" s="437"/>
      <c r="H2285" s="438"/>
    </row>
    <row r="2286" spans="1:8" s="65" customFormat="1" ht="20.100000000000001" customHeight="1" x14ac:dyDescent="0.25">
      <c r="B2286" s="29"/>
      <c r="C2286" s="30"/>
      <c r="D2286" s="333" t="s">
        <v>1266</v>
      </c>
      <c r="E2286" s="374"/>
      <c r="F2286" s="374"/>
      <c r="G2286" s="437"/>
      <c r="H2286" s="438"/>
    </row>
    <row r="2287" spans="1:8" s="65" customFormat="1" ht="20.100000000000001" customHeight="1" thickBot="1" x14ac:dyDescent="0.3">
      <c r="B2287" s="440"/>
      <c r="C2287" s="441"/>
      <c r="D2287" s="442"/>
      <c r="E2287" s="443"/>
      <c r="F2287" s="444"/>
      <c r="G2287" s="444"/>
      <c r="H2287" s="445"/>
    </row>
    <row r="2288" spans="1:8" s="65" customFormat="1" ht="20.100000000000001" customHeight="1" x14ac:dyDescent="0.25">
      <c r="B2288" s="31"/>
      <c r="C2288" s="31"/>
      <c r="D2288" s="253"/>
      <c r="E2288" s="14"/>
      <c r="F2288" s="20"/>
      <c r="G2288" s="20"/>
      <c r="H2288" s="151"/>
    </row>
    <row r="2289" spans="2:8" s="65" customFormat="1" ht="20.100000000000001" customHeight="1" x14ac:dyDescent="0.25">
      <c r="B2289" s="31"/>
      <c r="C2289" s="31"/>
      <c r="D2289" s="18"/>
      <c r="E2289" s="14"/>
      <c r="F2289" s="20"/>
      <c r="G2289" s="20"/>
      <c r="H2289" s="151"/>
    </row>
    <row r="2290" spans="2:8" s="65" customFormat="1" ht="20.100000000000001" customHeight="1" x14ac:dyDescent="0.25">
      <c r="B2290" s="31"/>
      <c r="C2290" s="31"/>
      <c r="D2290" s="18"/>
      <c r="E2290" s="14"/>
      <c r="F2290" s="20"/>
      <c r="G2290" s="20"/>
      <c r="H2290" s="151"/>
    </row>
    <row r="2291" spans="2:8" s="65" customFormat="1" ht="20.100000000000001" customHeight="1" x14ac:dyDescent="0.25">
      <c r="B2291" s="31"/>
      <c r="C2291" s="31"/>
      <c r="D2291" s="18"/>
      <c r="E2291" s="14"/>
      <c r="F2291" s="20"/>
      <c r="G2291" s="20"/>
      <c r="H2291" s="151"/>
    </row>
    <row r="2292" spans="2:8" s="65" customFormat="1" ht="20.100000000000001" customHeight="1" x14ac:dyDescent="0.25">
      <c r="B2292" s="31"/>
      <c r="C2292" s="31"/>
      <c r="D2292" s="18"/>
      <c r="E2292" s="14"/>
      <c r="F2292" s="20"/>
      <c r="G2292" s="20"/>
      <c r="H2292" s="151"/>
    </row>
    <row r="2293" spans="2:8" s="65" customFormat="1" ht="20.100000000000001" customHeight="1" x14ac:dyDescent="0.25">
      <c r="B2293" s="31"/>
      <c r="C2293" s="31"/>
      <c r="D2293" s="18"/>
      <c r="E2293" s="14"/>
      <c r="F2293" s="20"/>
      <c r="G2293" s="20"/>
      <c r="H2293" s="151"/>
    </row>
    <row r="2294" spans="2:8" s="65" customFormat="1" ht="20.100000000000001" customHeight="1" x14ac:dyDescent="0.25">
      <c r="B2294" s="31"/>
      <c r="C2294" s="31"/>
      <c r="D2294" s="18"/>
      <c r="E2294" s="14"/>
      <c r="F2294" s="20"/>
      <c r="G2294" s="20"/>
      <c r="H2294" s="151"/>
    </row>
    <row r="2295" spans="2:8" s="65" customFormat="1" ht="20.100000000000001" customHeight="1" x14ac:dyDescent="0.25">
      <c r="B2295" s="31"/>
      <c r="C2295" s="31"/>
      <c r="D2295" s="18"/>
      <c r="E2295" s="14"/>
      <c r="F2295" s="20"/>
      <c r="G2295" s="20"/>
      <c r="H2295" s="151"/>
    </row>
    <row r="2296" spans="2:8" s="65" customFormat="1" ht="20.100000000000001" customHeight="1" x14ac:dyDescent="0.25">
      <c r="B2296" s="31"/>
      <c r="C2296" s="31"/>
      <c r="D2296" s="18"/>
      <c r="E2296" s="14"/>
      <c r="F2296" s="20"/>
      <c r="G2296" s="20"/>
      <c r="H2296" s="151"/>
    </row>
    <row r="2297" spans="2:8" s="65" customFormat="1" ht="20.100000000000001" customHeight="1" x14ac:dyDescent="0.25">
      <c r="B2297" s="31"/>
      <c r="C2297" s="31"/>
      <c r="D2297" s="18"/>
      <c r="E2297" s="14"/>
      <c r="F2297" s="20"/>
      <c r="G2297" s="20"/>
      <c r="H2297" s="151"/>
    </row>
    <row r="2298" spans="2:8" s="65" customFormat="1" ht="20.100000000000001" customHeight="1" x14ac:dyDescent="0.25">
      <c r="B2298" s="31"/>
      <c r="C2298" s="31"/>
      <c r="D2298" s="18"/>
      <c r="E2298" s="14"/>
      <c r="F2298" s="20"/>
      <c r="G2298" s="20"/>
      <c r="H2298" s="151"/>
    </row>
    <row r="2299" spans="2:8" s="65" customFormat="1" ht="20.100000000000001" customHeight="1" x14ac:dyDescent="0.25">
      <c r="B2299" s="31"/>
      <c r="C2299" s="31"/>
      <c r="D2299" s="18"/>
      <c r="E2299" s="14"/>
      <c r="F2299" s="20"/>
      <c r="G2299" s="20"/>
      <c r="H2299" s="151"/>
    </row>
    <row r="2300" spans="2:8" s="65" customFormat="1" ht="20.100000000000001" customHeight="1" x14ac:dyDescent="0.25">
      <c r="B2300" s="31"/>
      <c r="C2300" s="31"/>
      <c r="D2300" s="18"/>
      <c r="E2300" s="14"/>
      <c r="F2300" s="20"/>
      <c r="G2300" s="20"/>
      <c r="H2300" s="151"/>
    </row>
    <row r="2301" spans="2:8" s="65" customFormat="1" ht="20.100000000000001" customHeight="1" x14ac:dyDescent="0.25">
      <c r="B2301" s="31"/>
      <c r="C2301" s="31"/>
      <c r="D2301" s="18"/>
      <c r="E2301" s="14"/>
      <c r="F2301" s="20"/>
      <c r="G2301" s="20"/>
      <c r="H2301" s="151"/>
    </row>
    <row r="2302" spans="2:8" s="65" customFormat="1" ht="20.100000000000001" customHeight="1" x14ac:dyDescent="0.25">
      <c r="B2302" s="31"/>
      <c r="C2302" s="31"/>
      <c r="D2302" s="18"/>
      <c r="E2302" s="14"/>
      <c r="F2302" s="20"/>
      <c r="G2302" s="20"/>
      <c r="H2302" s="151"/>
    </row>
    <row r="2303" spans="2:8" s="65" customFormat="1" ht="20.100000000000001" customHeight="1" x14ac:dyDescent="0.25">
      <c r="B2303" s="31"/>
      <c r="C2303" s="31"/>
      <c r="D2303" s="18"/>
      <c r="E2303" s="14"/>
      <c r="F2303" s="20"/>
      <c r="G2303" s="20"/>
      <c r="H2303" s="151"/>
    </row>
    <row r="2304" spans="2:8" s="65" customFormat="1" ht="20.100000000000001" customHeight="1" x14ac:dyDescent="0.25">
      <c r="B2304" s="31"/>
      <c r="C2304" s="31"/>
      <c r="D2304" s="18"/>
      <c r="E2304" s="14"/>
      <c r="F2304" s="20"/>
      <c r="G2304" s="20"/>
      <c r="H2304" s="151"/>
    </row>
    <row r="2305" spans="2:8" s="65" customFormat="1" ht="20.100000000000001" customHeight="1" x14ac:dyDescent="0.25">
      <c r="B2305" s="31"/>
      <c r="C2305" s="31"/>
      <c r="D2305" s="18"/>
      <c r="E2305" s="14"/>
      <c r="F2305" s="20"/>
      <c r="G2305" s="20"/>
      <c r="H2305" s="151"/>
    </row>
    <row r="2306" spans="2:8" s="65" customFormat="1" ht="20.100000000000001" customHeight="1" x14ac:dyDescent="0.25">
      <c r="B2306" s="31"/>
      <c r="C2306" s="31"/>
      <c r="D2306" s="18"/>
      <c r="E2306" s="14"/>
      <c r="F2306" s="20"/>
      <c r="G2306" s="20"/>
      <c r="H2306" s="151"/>
    </row>
    <row r="2307" spans="2:8" s="65" customFormat="1" ht="20.100000000000001" customHeight="1" x14ac:dyDescent="0.25">
      <c r="B2307" s="31"/>
      <c r="C2307" s="31"/>
      <c r="D2307" s="18"/>
      <c r="E2307" s="14"/>
      <c r="F2307" s="20"/>
      <c r="G2307" s="20"/>
      <c r="H2307" s="151"/>
    </row>
    <row r="2308" spans="2:8" s="65" customFormat="1" ht="20.100000000000001" customHeight="1" x14ac:dyDescent="0.25">
      <c r="B2308" s="31"/>
      <c r="C2308" s="31"/>
      <c r="D2308" s="18"/>
      <c r="E2308" s="14"/>
      <c r="F2308" s="20"/>
      <c r="G2308" s="20"/>
      <c r="H2308" s="151"/>
    </row>
    <row r="2309" spans="2:8" s="65" customFormat="1" ht="20.100000000000001" customHeight="1" x14ac:dyDescent="0.25">
      <c r="B2309" s="31"/>
      <c r="C2309" s="31"/>
      <c r="D2309" s="18"/>
      <c r="E2309" s="14"/>
      <c r="F2309" s="20"/>
      <c r="G2309" s="20"/>
      <c r="H2309" s="151"/>
    </row>
    <row r="2310" spans="2:8" s="65" customFormat="1" ht="20.100000000000001" customHeight="1" x14ac:dyDescent="0.25">
      <c r="B2310" s="31"/>
      <c r="C2310" s="31"/>
      <c r="D2310" s="18"/>
      <c r="E2310" s="14"/>
      <c r="F2310" s="20"/>
      <c r="G2310" s="20"/>
      <c r="H2310" s="151"/>
    </row>
    <row r="2311" spans="2:8" s="65" customFormat="1" ht="20.100000000000001" customHeight="1" x14ac:dyDescent="0.25">
      <c r="B2311" s="31"/>
      <c r="C2311" s="31"/>
      <c r="D2311" s="18"/>
      <c r="E2311" s="14"/>
      <c r="F2311" s="20"/>
      <c r="G2311" s="20"/>
      <c r="H2311" s="151"/>
    </row>
    <row r="2312" spans="2:8" s="65" customFormat="1" ht="20.100000000000001" customHeight="1" x14ac:dyDescent="0.25">
      <c r="B2312" s="31"/>
      <c r="C2312" s="31"/>
      <c r="D2312" s="18"/>
      <c r="E2312" s="14"/>
      <c r="F2312" s="20"/>
      <c r="G2312" s="20"/>
      <c r="H2312" s="151"/>
    </row>
    <row r="2313" spans="2:8" s="65" customFormat="1" ht="20.100000000000001" customHeight="1" x14ac:dyDescent="0.25">
      <c r="B2313" s="31"/>
      <c r="C2313" s="31"/>
      <c r="D2313" s="18"/>
      <c r="E2313" s="14"/>
      <c r="F2313" s="20"/>
      <c r="G2313" s="20"/>
      <c r="H2313" s="151"/>
    </row>
    <row r="2314" spans="2:8" s="65" customFormat="1" ht="20.100000000000001" customHeight="1" x14ac:dyDescent="0.25">
      <c r="B2314" s="31"/>
      <c r="C2314" s="31"/>
      <c r="D2314" s="18"/>
      <c r="E2314" s="14"/>
      <c r="F2314" s="20"/>
      <c r="G2314" s="20"/>
      <c r="H2314" s="151"/>
    </row>
    <row r="2315" spans="2:8" s="65" customFormat="1" ht="20.100000000000001" customHeight="1" x14ac:dyDescent="0.25">
      <c r="B2315" s="31"/>
      <c r="C2315" s="31"/>
      <c r="D2315" s="18"/>
      <c r="E2315" s="14"/>
      <c r="F2315" s="20"/>
      <c r="G2315" s="20"/>
      <c r="H2315" s="151"/>
    </row>
    <row r="2316" spans="2:8" s="65" customFormat="1" ht="20.100000000000001" customHeight="1" x14ac:dyDescent="0.25">
      <c r="B2316" s="31"/>
      <c r="C2316" s="31"/>
      <c r="D2316" s="18"/>
      <c r="E2316" s="14"/>
      <c r="F2316" s="20"/>
      <c r="G2316" s="20"/>
      <c r="H2316" s="151"/>
    </row>
    <row r="2317" spans="2:8" s="65" customFormat="1" ht="20.100000000000001" customHeight="1" x14ac:dyDescent="0.25">
      <c r="B2317" s="31"/>
      <c r="C2317" s="31"/>
      <c r="D2317" s="18"/>
      <c r="E2317" s="14"/>
      <c r="F2317" s="20"/>
      <c r="G2317" s="20"/>
      <c r="H2317" s="151"/>
    </row>
    <row r="2318" spans="2:8" s="65" customFormat="1" ht="20.100000000000001" customHeight="1" x14ac:dyDescent="0.25">
      <c r="B2318" s="31"/>
      <c r="C2318" s="31"/>
      <c r="D2318" s="18"/>
      <c r="E2318" s="14"/>
      <c r="F2318" s="20"/>
      <c r="G2318" s="20"/>
      <c r="H2318" s="151"/>
    </row>
    <row r="2319" spans="2:8" s="65" customFormat="1" ht="20.100000000000001" customHeight="1" x14ac:dyDescent="0.25">
      <c r="B2319" s="31"/>
      <c r="C2319" s="31"/>
      <c r="D2319" s="18"/>
      <c r="E2319" s="14"/>
      <c r="F2319" s="20"/>
      <c r="G2319" s="20"/>
      <c r="H2319" s="151"/>
    </row>
    <row r="2320" spans="2:8" s="65" customFormat="1" ht="20.100000000000001" customHeight="1" x14ac:dyDescent="0.25">
      <c r="B2320" s="31"/>
      <c r="C2320" s="31"/>
      <c r="D2320" s="18"/>
      <c r="E2320" s="14"/>
      <c r="F2320" s="20"/>
      <c r="G2320" s="20"/>
      <c r="H2320" s="151"/>
    </row>
    <row r="2321" spans="2:8" s="65" customFormat="1" ht="20.100000000000001" customHeight="1" x14ac:dyDescent="0.25">
      <c r="B2321" s="31"/>
      <c r="C2321" s="31"/>
      <c r="D2321" s="18"/>
      <c r="E2321" s="14"/>
      <c r="F2321" s="20"/>
      <c r="G2321" s="20"/>
      <c r="H2321" s="151"/>
    </row>
    <row r="2322" spans="2:8" s="65" customFormat="1" ht="15" x14ac:dyDescent="0.25">
      <c r="B2322" s="31"/>
      <c r="C2322" s="31"/>
      <c r="D2322" s="18"/>
      <c r="E2322" s="14"/>
      <c r="F2322" s="20"/>
      <c r="G2322" s="20"/>
      <c r="H2322" s="151"/>
    </row>
    <row r="2323" spans="2:8" s="65" customFormat="1" ht="25.5" customHeight="1" x14ac:dyDescent="0.25">
      <c r="B2323" s="31"/>
      <c r="C2323" s="31"/>
      <c r="D2323" s="18"/>
      <c r="E2323" s="14"/>
      <c r="F2323" s="20"/>
      <c r="G2323" s="20"/>
      <c r="H2323" s="151"/>
    </row>
    <row r="2324" spans="2:8" s="65" customFormat="1" ht="20.100000000000001" customHeight="1" x14ac:dyDescent="0.25">
      <c r="B2324" s="31"/>
      <c r="C2324" s="31"/>
      <c r="D2324" s="18"/>
      <c r="E2324" s="14"/>
      <c r="F2324" s="20"/>
      <c r="G2324" s="20"/>
      <c r="H2324" s="151"/>
    </row>
    <row r="2325" spans="2:8" s="65" customFormat="1" ht="20.100000000000001" customHeight="1" x14ac:dyDescent="0.25">
      <c r="B2325" s="31"/>
      <c r="C2325" s="31"/>
      <c r="D2325" s="18"/>
      <c r="E2325" s="14"/>
      <c r="F2325" s="20"/>
      <c r="G2325" s="20"/>
      <c r="H2325" s="151"/>
    </row>
    <row r="2326" spans="2:8" s="65" customFormat="1" ht="20.100000000000001" customHeight="1" x14ac:dyDescent="0.25">
      <c r="B2326" s="31"/>
      <c r="C2326" s="31"/>
      <c r="D2326" s="18"/>
      <c r="E2326" s="14"/>
      <c r="F2326" s="20"/>
      <c r="G2326" s="20"/>
      <c r="H2326" s="151"/>
    </row>
    <row r="2327" spans="2:8" s="65" customFormat="1" ht="20.100000000000001" customHeight="1" x14ac:dyDescent="0.25">
      <c r="B2327" s="31"/>
      <c r="C2327" s="31"/>
      <c r="D2327" s="18"/>
      <c r="E2327" s="14"/>
      <c r="F2327" s="20"/>
      <c r="G2327" s="20"/>
      <c r="H2327" s="151"/>
    </row>
    <row r="2328" spans="2:8" s="65" customFormat="1" ht="20.100000000000001" customHeight="1" x14ac:dyDescent="0.25">
      <c r="B2328" s="31"/>
      <c r="C2328" s="31"/>
      <c r="D2328" s="18"/>
      <c r="E2328" s="14"/>
      <c r="F2328" s="20"/>
      <c r="G2328" s="20"/>
      <c r="H2328" s="151"/>
    </row>
    <row r="2329" spans="2:8" s="65" customFormat="1" ht="20.100000000000001" customHeight="1" x14ac:dyDescent="0.25">
      <c r="B2329" s="31"/>
      <c r="C2329" s="31"/>
      <c r="D2329" s="18"/>
      <c r="E2329" s="14"/>
      <c r="F2329" s="20"/>
      <c r="G2329" s="20"/>
      <c r="H2329" s="151"/>
    </row>
    <row r="2330" spans="2:8" s="65" customFormat="1" ht="20.100000000000001" customHeight="1" x14ac:dyDescent="0.25">
      <c r="B2330" s="31"/>
      <c r="C2330" s="31"/>
      <c r="D2330" s="18"/>
      <c r="E2330" s="14"/>
      <c r="F2330" s="20"/>
      <c r="G2330" s="20"/>
      <c r="H2330" s="151"/>
    </row>
    <row r="2331" spans="2:8" s="65" customFormat="1" ht="20.100000000000001" customHeight="1" x14ac:dyDescent="0.25">
      <c r="B2331" s="31"/>
      <c r="C2331" s="31"/>
      <c r="D2331" s="18"/>
      <c r="E2331" s="14"/>
      <c r="F2331" s="20"/>
      <c r="G2331" s="20"/>
      <c r="H2331" s="151"/>
    </row>
    <row r="2332" spans="2:8" s="65" customFormat="1" ht="20.100000000000001" customHeight="1" x14ac:dyDescent="0.25">
      <c r="B2332" s="31"/>
      <c r="C2332" s="31"/>
      <c r="D2332" s="18"/>
      <c r="E2332" s="14"/>
      <c r="F2332" s="20"/>
      <c r="G2332" s="20"/>
      <c r="H2332" s="151"/>
    </row>
    <row r="2333" spans="2:8" s="65" customFormat="1" ht="20.100000000000001" customHeight="1" x14ac:dyDescent="0.25">
      <c r="B2333" s="31"/>
      <c r="C2333" s="31"/>
      <c r="D2333" s="18"/>
      <c r="E2333" s="14"/>
      <c r="F2333" s="20"/>
      <c r="G2333" s="20"/>
      <c r="H2333" s="151"/>
    </row>
    <row r="2334" spans="2:8" s="65" customFormat="1" ht="20.100000000000001" customHeight="1" x14ac:dyDescent="0.25">
      <c r="B2334" s="31"/>
      <c r="C2334" s="31"/>
      <c r="D2334" s="18"/>
      <c r="E2334" s="14"/>
      <c r="F2334" s="20"/>
      <c r="G2334" s="20"/>
      <c r="H2334" s="151"/>
    </row>
    <row r="2335" spans="2:8" s="65" customFormat="1" ht="20.100000000000001" customHeight="1" x14ac:dyDescent="0.25">
      <c r="B2335" s="31"/>
      <c r="C2335" s="31"/>
      <c r="D2335" s="18"/>
      <c r="E2335" s="14"/>
      <c r="F2335" s="20"/>
      <c r="G2335" s="20"/>
      <c r="H2335" s="151"/>
    </row>
    <row r="2336" spans="2:8" s="65" customFormat="1" ht="20.100000000000001" customHeight="1" x14ac:dyDescent="0.25">
      <c r="B2336" s="31"/>
      <c r="C2336" s="31"/>
      <c r="D2336" s="18"/>
      <c r="E2336" s="14"/>
      <c r="F2336" s="20"/>
      <c r="G2336" s="20"/>
      <c r="H2336" s="151"/>
    </row>
    <row r="2337" spans="1:8" s="65" customFormat="1" ht="20.100000000000001" customHeight="1" x14ac:dyDescent="0.25">
      <c r="B2337" s="31"/>
      <c r="C2337" s="31"/>
      <c r="D2337" s="18"/>
      <c r="E2337" s="14"/>
      <c r="F2337" s="20"/>
      <c r="G2337" s="20"/>
      <c r="H2337" s="151"/>
    </row>
    <row r="2338" spans="1:8" s="65" customFormat="1" ht="20.100000000000001" customHeight="1" x14ac:dyDescent="0.25">
      <c r="B2338" s="31"/>
      <c r="C2338" s="31"/>
      <c r="D2338" s="18"/>
      <c r="E2338" s="14"/>
      <c r="F2338" s="20"/>
      <c r="G2338" s="20"/>
      <c r="H2338" s="151"/>
    </row>
    <row r="2339" spans="1:8" s="65" customFormat="1" ht="20.100000000000001" customHeight="1" x14ac:dyDescent="0.25">
      <c r="B2339" s="31"/>
      <c r="C2339" s="31"/>
      <c r="D2339" s="18"/>
      <c r="E2339" s="14"/>
      <c r="F2339" s="20"/>
      <c r="G2339" s="20"/>
      <c r="H2339" s="151"/>
    </row>
    <row r="2340" spans="1:8" s="65" customFormat="1" ht="20.100000000000001" customHeight="1" x14ac:dyDescent="0.25">
      <c r="B2340" s="31"/>
      <c r="C2340" s="31"/>
      <c r="D2340" s="18"/>
      <c r="E2340" s="14"/>
      <c r="F2340" s="20"/>
      <c r="G2340" s="20"/>
      <c r="H2340" s="151"/>
    </row>
    <row r="2341" spans="1:8" ht="20.100000000000001" customHeight="1" x14ac:dyDescent="0.25">
      <c r="A2341" s="65"/>
    </row>
    <row r="2342" spans="1:8" ht="20.100000000000001" customHeight="1" x14ac:dyDescent="0.25">
      <c r="A2342" s="65"/>
    </row>
    <row r="2343" spans="1:8" ht="20.100000000000001" customHeight="1" x14ac:dyDescent="0.25">
      <c r="A2343" s="65"/>
    </row>
  </sheetData>
  <mergeCells count="1013">
    <mergeCell ref="B227:C256"/>
    <mergeCell ref="B257:C258"/>
    <mergeCell ref="B427:C468"/>
    <mergeCell ref="B469:C469"/>
    <mergeCell ref="B598:C605"/>
    <mergeCell ref="B932:C934"/>
    <mergeCell ref="B935:C957"/>
    <mergeCell ref="B1102:C1107"/>
    <mergeCell ref="B1108:C1113"/>
    <mergeCell ref="B2197:C2198"/>
    <mergeCell ref="B2199:C2201"/>
    <mergeCell ref="B2244:C2250"/>
    <mergeCell ref="I6:J6"/>
    <mergeCell ref="F421:G421"/>
    <mergeCell ref="F422:G422"/>
    <mergeCell ref="F423:G423"/>
    <mergeCell ref="B370:C381"/>
    <mergeCell ref="B383:C394"/>
    <mergeCell ref="B396:C407"/>
    <mergeCell ref="B409:C420"/>
    <mergeCell ref="B422:C423"/>
    <mergeCell ref="B509:C509"/>
    <mergeCell ref="B507:C507"/>
    <mergeCell ref="B505:C505"/>
    <mergeCell ref="B503:C503"/>
    <mergeCell ref="B830:C831"/>
    <mergeCell ref="B833:C835"/>
    <mergeCell ref="B690:C690"/>
    <mergeCell ref="B565:C565"/>
    <mergeCell ref="B551:C551"/>
    <mergeCell ref="B553:C553"/>
    <mergeCell ref="B801:C801"/>
    <mergeCell ref="F2276:G2276"/>
    <mergeCell ref="F2277:G2277"/>
    <mergeCell ref="F2278:G2278"/>
    <mergeCell ref="F2279:G2279"/>
    <mergeCell ref="B2277:C2279"/>
    <mergeCell ref="F301:G301"/>
    <mergeCell ref="F302:G302"/>
    <mergeCell ref="F303:G303"/>
    <mergeCell ref="B302:C303"/>
    <mergeCell ref="F683:G683"/>
    <mergeCell ref="F686:G686"/>
    <mergeCell ref="B684:C685"/>
    <mergeCell ref="F684:G684"/>
    <mergeCell ref="F685:G685"/>
    <mergeCell ref="F687:G687"/>
    <mergeCell ref="F688:G688"/>
    <mergeCell ref="B687:C688"/>
    <mergeCell ref="F735:G735"/>
    <mergeCell ref="F736:G736"/>
    <mergeCell ref="F861:G861"/>
    <mergeCell ref="F862:G862"/>
    <mergeCell ref="F864:G864"/>
    <mergeCell ref="F863:G863"/>
    <mergeCell ref="F865:G865"/>
    <mergeCell ref="F866:G866"/>
    <mergeCell ref="F867:G867"/>
    <mergeCell ref="F668:G668"/>
    <mergeCell ref="F669:G669"/>
    <mergeCell ref="F670:G670"/>
    <mergeCell ref="F854:G854"/>
    <mergeCell ref="F855:G855"/>
    <mergeCell ref="B368:C368"/>
    <mergeCell ref="B2281:C2281"/>
    <mergeCell ref="D1067:G1067"/>
    <mergeCell ref="D1074:G1074"/>
    <mergeCell ref="F672:G672"/>
    <mergeCell ref="F673:G673"/>
    <mergeCell ref="B671:C673"/>
    <mergeCell ref="D1091:G1091"/>
    <mergeCell ref="F787:G787"/>
    <mergeCell ref="B788:C789"/>
    <mergeCell ref="F788:G788"/>
    <mergeCell ref="F789:G789"/>
    <mergeCell ref="F790:G790"/>
    <mergeCell ref="F791:G791"/>
    <mergeCell ref="F792:G792"/>
    <mergeCell ref="B791:C792"/>
    <mergeCell ref="F671:G671"/>
    <mergeCell ref="F674:G674"/>
    <mergeCell ref="F675:G675"/>
    <mergeCell ref="F676:G676"/>
    <mergeCell ref="F677:G677"/>
    <mergeCell ref="F678:G678"/>
    <mergeCell ref="F679:G679"/>
    <mergeCell ref="F680:G680"/>
    <mergeCell ref="F681:G681"/>
    <mergeCell ref="F682:G682"/>
    <mergeCell ref="B681:C682"/>
    <mergeCell ref="F852:G852"/>
    <mergeCell ref="F853:G853"/>
    <mergeCell ref="B803:C803"/>
    <mergeCell ref="B805:C805"/>
    <mergeCell ref="B807:C807"/>
    <mergeCell ref="F1500:G1500"/>
    <mergeCell ref="F2269:G2269"/>
    <mergeCell ref="B2270:C2270"/>
    <mergeCell ref="F2270:G2270"/>
    <mergeCell ref="F2268:G2268"/>
    <mergeCell ref="F906:G906"/>
    <mergeCell ref="B1328:H1328"/>
    <mergeCell ref="F1253:G1253"/>
    <mergeCell ref="F1280:G1280"/>
    <mergeCell ref="F1292:G1292"/>
    <mergeCell ref="F1857:G1857"/>
    <mergeCell ref="F1464:G1464"/>
    <mergeCell ref="F2263:G2263"/>
    <mergeCell ref="F2265:G2265"/>
    <mergeCell ref="F2267:G2267"/>
    <mergeCell ref="B2203:C2204"/>
    <mergeCell ref="F1085:G1085"/>
    <mergeCell ref="F1086:G1086"/>
    <mergeCell ref="F1087:G1087"/>
    <mergeCell ref="F1088:G1088"/>
    <mergeCell ref="F1327:G1327"/>
    <mergeCell ref="F1260:G1260"/>
    <mergeCell ref="F1376:G1376"/>
    <mergeCell ref="F1054:G1054"/>
    <mergeCell ref="F1055:G1055"/>
    <mergeCell ref="B1460:C1481"/>
    <mergeCell ref="F1516:G1516"/>
    <mergeCell ref="F1517:G1517"/>
    <mergeCell ref="F1508:G1508"/>
    <mergeCell ref="F1431:G1431"/>
    <mergeCell ref="D1185:G1185"/>
    <mergeCell ref="F1463:G1463"/>
    <mergeCell ref="F1467:G1467"/>
    <mergeCell ref="B473:C473"/>
    <mergeCell ref="B471:C471"/>
    <mergeCell ref="F762:G762"/>
    <mergeCell ref="F764:G764"/>
    <mergeCell ref="F759:G759"/>
    <mergeCell ref="F760:G760"/>
    <mergeCell ref="B764:C764"/>
    <mergeCell ref="B762:C762"/>
    <mergeCell ref="F769:G769"/>
    <mergeCell ref="F774:G774"/>
    <mergeCell ref="B780:C780"/>
    <mergeCell ref="F780:G780"/>
    <mergeCell ref="F660:G660"/>
    <mergeCell ref="F661:G661"/>
    <mergeCell ref="F662:G662"/>
    <mergeCell ref="F771:G771"/>
    <mergeCell ref="B770:C770"/>
    <mergeCell ref="B768:C768"/>
    <mergeCell ref="B766:C766"/>
    <mergeCell ref="F772:G772"/>
    <mergeCell ref="F773:G773"/>
    <mergeCell ref="B519:C519"/>
    <mergeCell ref="B517:C517"/>
    <mergeCell ref="B515:C515"/>
    <mergeCell ref="B513:C513"/>
    <mergeCell ref="B511:C511"/>
    <mergeCell ref="F653:G653"/>
    <mergeCell ref="F702:G702"/>
    <mergeCell ref="D567:G567"/>
    <mergeCell ref="B708:C708"/>
    <mergeCell ref="B523:C523"/>
    <mergeCell ref="F605:G605"/>
    <mergeCell ref="F1259:G1259"/>
    <mergeCell ref="F1375:G1375"/>
    <mergeCell ref="B1380:C1383"/>
    <mergeCell ref="B1483:C1492"/>
    <mergeCell ref="F1469:G1469"/>
    <mergeCell ref="F1470:G1470"/>
    <mergeCell ref="B1334:C1346"/>
    <mergeCell ref="D1329:G1329"/>
    <mergeCell ref="F1458:G1458"/>
    <mergeCell ref="B561:C561"/>
    <mergeCell ref="B559:C559"/>
    <mergeCell ref="F1434:G1434"/>
    <mergeCell ref="F1490:G1490"/>
    <mergeCell ref="F1491:G1491"/>
    <mergeCell ref="B1299:H1299"/>
    <mergeCell ref="B1311:C1314"/>
    <mergeCell ref="F1325:G1325"/>
    <mergeCell ref="F1326:G1326"/>
    <mergeCell ref="F1479:G1479"/>
    <mergeCell ref="B1072:C1072"/>
    <mergeCell ref="B1076:C1078"/>
    <mergeCell ref="F1053:G1053"/>
    <mergeCell ref="F856:G856"/>
    <mergeCell ref="F857:G857"/>
    <mergeCell ref="F858:G858"/>
    <mergeCell ref="B740:C740"/>
    <mergeCell ref="F1505:G1505"/>
    <mergeCell ref="F1506:G1506"/>
    <mergeCell ref="F1462:G1462"/>
    <mergeCell ref="F1380:G1380"/>
    <mergeCell ref="F1439:G1439"/>
    <mergeCell ref="F1481:G1481"/>
    <mergeCell ref="F1258:G1258"/>
    <mergeCell ref="B1331:C1332"/>
    <mergeCell ref="B1364:C1366"/>
    <mergeCell ref="B1302:C1309"/>
    <mergeCell ref="F1374:G1374"/>
    <mergeCell ref="F1113:G1113"/>
    <mergeCell ref="F1482:G1482"/>
    <mergeCell ref="F1476:G1476"/>
    <mergeCell ref="F1234:G1234"/>
    <mergeCell ref="F1484:G1484"/>
    <mergeCell ref="F1443:G1443"/>
    <mergeCell ref="F1480:G1480"/>
    <mergeCell ref="F1437:G1437"/>
    <mergeCell ref="F1460:G1460"/>
    <mergeCell ref="F1444:G1444"/>
    <mergeCell ref="F1435:G1435"/>
    <mergeCell ref="F1446:G1446"/>
    <mergeCell ref="F1448:G1448"/>
    <mergeCell ref="B1184:H1184"/>
    <mergeCell ref="F1483:G1483"/>
    <mergeCell ref="F1429:G1429"/>
    <mergeCell ref="F1231:G1231"/>
    <mergeCell ref="F1232:G1232"/>
    <mergeCell ref="B1178:C1181"/>
    <mergeCell ref="F1459:G1459"/>
    <mergeCell ref="F1233:G1233"/>
    <mergeCell ref="B563:C563"/>
    <mergeCell ref="B529:C529"/>
    <mergeCell ref="B607:C617"/>
    <mergeCell ref="F618:G618"/>
    <mergeCell ref="F631:G631"/>
    <mergeCell ref="F632:G632"/>
    <mergeCell ref="B692:C692"/>
    <mergeCell ref="F604:G604"/>
    <mergeCell ref="F621:G621"/>
    <mergeCell ref="F639:G639"/>
    <mergeCell ref="B908:C925"/>
    <mergeCell ref="F712:G712"/>
    <mergeCell ref="F801:G801"/>
    <mergeCell ref="B809:C809"/>
    <mergeCell ref="B811:C811"/>
    <mergeCell ref="B813:C813"/>
    <mergeCell ref="B815:C815"/>
    <mergeCell ref="F836:G836"/>
    <mergeCell ref="F837:G837"/>
    <mergeCell ref="F838:G838"/>
    <mergeCell ref="F839:G839"/>
    <mergeCell ref="F781:G781"/>
    <mergeCell ref="F782:G782"/>
    <mergeCell ref="F783:G783"/>
    <mergeCell ref="B786:C786"/>
    <mergeCell ref="B784:C784"/>
    <mergeCell ref="F846:G846"/>
    <mergeCell ref="F847:G847"/>
    <mergeCell ref="F795:G795"/>
    <mergeCell ref="F859:G859"/>
    <mergeCell ref="F860:G860"/>
    <mergeCell ref="B720:C720"/>
    <mergeCell ref="B744:C744"/>
    <mergeCell ref="B738:G738"/>
    <mergeCell ref="B793:G793"/>
    <mergeCell ref="F705:G705"/>
    <mergeCell ref="F711:G711"/>
    <mergeCell ref="D869:G869"/>
    <mergeCell ref="B868:H868"/>
    <mergeCell ref="F829:G829"/>
    <mergeCell ref="F849:G849"/>
    <mergeCell ref="F850:G850"/>
    <mergeCell ref="F851:G851"/>
    <mergeCell ref="B795:C795"/>
    <mergeCell ref="F841:G841"/>
    <mergeCell ref="F842:G842"/>
    <mergeCell ref="F752:G752"/>
    <mergeCell ref="F753:G753"/>
    <mergeCell ref="B799:C799"/>
    <mergeCell ref="F814:G814"/>
    <mergeCell ref="F806:G806"/>
    <mergeCell ref="F808:G808"/>
    <mergeCell ref="F800:G800"/>
    <mergeCell ref="F706:G706"/>
    <mergeCell ref="F779:G779"/>
    <mergeCell ref="F756:G756"/>
    <mergeCell ref="F758:G758"/>
    <mergeCell ref="B742:C742"/>
    <mergeCell ref="F826:G826"/>
    <mergeCell ref="F827:G827"/>
    <mergeCell ref="F819:G819"/>
    <mergeCell ref="F820:G820"/>
    <mergeCell ref="F821:G821"/>
    <mergeCell ref="B927:C928"/>
    <mergeCell ref="F848:G848"/>
    <mergeCell ref="B730:C730"/>
    <mergeCell ref="B728:C728"/>
    <mergeCell ref="B726:C726"/>
    <mergeCell ref="B724:C724"/>
    <mergeCell ref="B722:C722"/>
    <mergeCell ref="B712:C712"/>
    <mergeCell ref="B710:C710"/>
    <mergeCell ref="F825:G825"/>
    <mergeCell ref="F870:G870"/>
    <mergeCell ref="F871:G871"/>
    <mergeCell ref="F740:G740"/>
    <mergeCell ref="F803:G803"/>
    <mergeCell ref="B828:G828"/>
    <mergeCell ref="F830:G830"/>
    <mergeCell ref="F831:G831"/>
    <mergeCell ref="F832:G832"/>
    <mergeCell ref="F833:G833"/>
    <mergeCell ref="F834:G834"/>
    <mergeCell ref="F835:G835"/>
    <mergeCell ref="B782:C782"/>
    <mergeCell ref="B778:C778"/>
    <mergeCell ref="F807:G807"/>
    <mergeCell ref="F875:G875"/>
    <mergeCell ref="F714:G714"/>
    <mergeCell ref="F733:G733"/>
    <mergeCell ref="F734:G734"/>
    <mergeCell ref="B732:C732"/>
    <mergeCell ref="F763:G763"/>
    <mergeCell ref="F765:G765"/>
    <mergeCell ref="F778:G778"/>
    <mergeCell ref="F690:G690"/>
    <mergeCell ref="F691:G691"/>
    <mergeCell ref="F692:G692"/>
    <mergeCell ref="F693:G693"/>
    <mergeCell ref="F694:G694"/>
    <mergeCell ref="F695:G695"/>
    <mergeCell ref="F718:G718"/>
    <mergeCell ref="F634:G634"/>
    <mergeCell ref="F626:G626"/>
    <mergeCell ref="F627:G627"/>
    <mergeCell ref="F624:G624"/>
    <mergeCell ref="B706:C706"/>
    <mergeCell ref="B760:C760"/>
    <mergeCell ref="B758:C758"/>
    <mergeCell ref="F755:G755"/>
    <mergeCell ref="F757:G757"/>
    <mergeCell ref="B756:C756"/>
    <mergeCell ref="B626:C636"/>
    <mergeCell ref="F664:G664"/>
    <mergeCell ref="F665:G665"/>
    <mergeCell ref="F666:G666"/>
    <mergeCell ref="F719:G719"/>
    <mergeCell ref="F732:G732"/>
    <mergeCell ref="F746:G746"/>
    <mergeCell ref="F747:G747"/>
    <mergeCell ref="F749:G749"/>
    <mergeCell ref="F751:G751"/>
    <mergeCell ref="F748:G748"/>
    <mergeCell ref="F750:G750"/>
    <mergeCell ref="F741:G741"/>
    <mergeCell ref="F742:G742"/>
    <mergeCell ref="B718:C718"/>
    <mergeCell ref="F610:G610"/>
    <mergeCell ref="F611:G611"/>
    <mergeCell ref="F612:G612"/>
    <mergeCell ref="F654:G654"/>
    <mergeCell ref="F667:G667"/>
    <mergeCell ref="F696:G696"/>
    <mergeCell ref="F698:G698"/>
    <mergeCell ref="B694:C694"/>
    <mergeCell ref="F586:G586"/>
    <mergeCell ref="F587:G587"/>
    <mergeCell ref="F599:G599"/>
    <mergeCell ref="F704:G704"/>
    <mergeCell ref="B619:C624"/>
    <mergeCell ref="F703:G703"/>
    <mergeCell ref="F619:G619"/>
    <mergeCell ref="F663:G663"/>
    <mergeCell ref="B704:C704"/>
    <mergeCell ref="B702:C702"/>
    <mergeCell ref="B700:C700"/>
    <mergeCell ref="B698:C698"/>
    <mergeCell ref="B583:C591"/>
    <mergeCell ref="F583:G583"/>
    <mergeCell ref="F584:G584"/>
    <mergeCell ref="F597:G597"/>
    <mergeCell ref="F623:G623"/>
    <mergeCell ref="F595:G595"/>
    <mergeCell ref="F596:G596"/>
    <mergeCell ref="F699:G699"/>
    <mergeCell ref="F594:G594"/>
    <mergeCell ref="F622:G622"/>
    <mergeCell ref="F585:G585"/>
    <mergeCell ref="F689:G689"/>
    <mergeCell ref="F560:G560"/>
    <mergeCell ref="F540:G540"/>
    <mergeCell ref="F534:G534"/>
    <mergeCell ref="F579:G579"/>
    <mergeCell ref="F554:G554"/>
    <mergeCell ref="F550:G550"/>
    <mergeCell ref="F549:G549"/>
    <mergeCell ref="F551:G551"/>
    <mergeCell ref="F552:G552"/>
    <mergeCell ref="B574:C578"/>
    <mergeCell ref="B644:C667"/>
    <mergeCell ref="B638:C639"/>
    <mergeCell ref="F737:G737"/>
    <mergeCell ref="B736:C737"/>
    <mergeCell ref="B716:C716"/>
    <mergeCell ref="B714:C714"/>
    <mergeCell ref="F697:G697"/>
    <mergeCell ref="F700:G700"/>
    <mergeCell ref="F701:G701"/>
    <mergeCell ref="F723:G723"/>
    <mergeCell ref="F722:G722"/>
    <mergeCell ref="F600:G600"/>
    <mergeCell ref="F601:G601"/>
    <mergeCell ref="F602:G602"/>
    <mergeCell ref="F593:G593"/>
    <mergeCell ref="F592:G592"/>
    <mergeCell ref="F598:G598"/>
    <mergeCell ref="F591:G591"/>
    <mergeCell ref="F717:G717"/>
    <mergeCell ref="F708:G708"/>
    <mergeCell ref="F709:G709"/>
    <mergeCell ref="F613:G613"/>
    <mergeCell ref="B477:C477"/>
    <mergeCell ref="B475:C475"/>
    <mergeCell ref="B483:C483"/>
    <mergeCell ref="B535:C535"/>
    <mergeCell ref="B537:C537"/>
    <mergeCell ref="B539:C539"/>
    <mergeCell ref="F487:G487"/>
    <mergeCell ref="F491:G491"/>
    <mergeCell ref="F545:G545"/>
    <mergeCell ref="F546:G546"/>
    <mergeCell ref="B491:C491"/>
    <mergeCell ref="B489:C489"/>
    <mergeCell ref="B487:C487"/>
    <mergeCell ref="B485:C485"/>
    <mergeCell ref="F526:G526"/>
    <mergeCell ref="F493:G493"/>
    <mergeCell ref="F494:G494"/>
    <mergeCell ref="F544:G544"/>
    <mergeCell ref="F515:G515"/>
    <mergeCell ref="B481:C481"/>
    <mergeCell ref="B501:C501"/>
    <mergeCell ref="B499:C499"/>
    <mergeCell ref="B527:C527"/>
    <mergeCell ref="F490:G490"/>
    <mergeCell ref="F489:G489"/>
    <mergeCell ref="F488:G488"/>
    <mergeCell ref="F516:G516"/>
    <mergeCell ref="F518:G518"/>
    <mergeCell ref="F520:G520"/>
    <mergeCell ref="F519:G519"/>
    <mergeCell ref="B521:C521"/>
    <mergeCell ref="B525:C525"/>
    <mergeCell ref="F1529:G1529"/>
    <mergeCell ref="F1530:G1530"/>
    <mergeCell ref="F1543:G1543"/>
    <mergeCell ref="B547:C547"/>
    <mergeCell ref="B549:C549"/>
    <mergeCell ref="F541:G541"/>
    <mergeCell ref="F542:G542"/>
    <mergeCell ref="F543:G543"/>
    <mergeCell ref="B479:C479"/>
    <mergeCell ref="F562:G562"/>
    <mergeCell ref="F556:G556"/>
    <mergeCell ref="F555:G555"/>
    <mergeCell ref="F557:G557"/>
    <mergeCell ref="F559:G559"/>
    <mergeCell ref="F561:G561"/>
    <mergeCell ref="F563:G563"/>
    <mergeCell ref="F565:G565"/>
    <mergeCell ref="F630:G630"/>
    <mergeCell ref="F603:G603"/>
    <mergeCell ref="F571:G571"/>
    <mergeCell ref="F573:G573"/>
    <mergeCell ref="F572:G572"/>
    <mergeCell ref="F589:G589"/>
    <mergeCell ref="F590:G590"/>
    <mergeCell ref="B497:C497"/>
    <mergeCell ref="B495:C495"/>
    <mergeCell ref="B493:C493"/>
    <mergeCell ref="F524:G524"/>
    <mergeCell ref="F510:G510"/>
    <mergeCell ref="F512:G512"/>
    <mergeCell ref="F495:G495"/>
    <mergeCell ref="F564:G564"/>
    <mergeCell ref="F2266:G2266"/>
    <mergeCell ref="B929:H929"/>
    <mergeCell ref="D930:G930"/>
    <mergeCell ref="F1315:G1315"/>
    <mergeCell ref="F1316:G1316"/>
    <mergeCell ref="F1317:G1317"/>
    <mergeCell ref="F1318:G1318"/>
    <mergeCell ref="F1319:G1319"/>
    <mergeCell ref="F1320:G1320"/>
    <mergeCell ref="F1321:G1321"/>
    <mergeCell ref="F1322:G1322"/>
    <mergeCell ref="F1323:G1323"/>
    <mergeCell ref="F1324:G1324"/>
    <mergeCell ref="F2264:G2264"/>
    <mergeCell ref="F1056:G1056"/>
    <mergeCell ref="B1117:C1146"/>
    <mergeCell ref="D1300:G1300"/>
    <mergeCell ref="F1236:G1236"/>
    <mergeCell ref="F1261:G1261"/>
    <mergeCell ref="F1262:G1262"/>
    <mergeCell ref="F1235:G1235"/>
    <mergeCell ref="F1263:G1263"/>
    <mergeCell ref="F1377:G1377"/>
    <mergeCell ref="F1378:G1378"/>
    <mergeCell ref="F1492:G1492"/>
    <mergeCell ref="B1496:H1496"/>
    <mergeCell ref="F1498:G1498"/>
    <mergeCell ref="F1518:G1518"/>
    <mergeCell ref="B1519:C1537"/>
    <mergeCell ref="F1526:G1526"/>
    <mergeCell ref="F1527:G1527"/>
    <mergeCell ref="F1528:G1528"/>
    <mergeCell ref="B2129:C2145"/>
    <mergeCell ref="F1534:G1534"/>
    <mergeCell ref="F1535:G1535"/>
    <mergeCell ref="B2227:H2227"/>
    <mergeCell ref="B1546:C1546"/>
    <mergeCell ref="B1544:C1544"/>
    <mergeCell ref="B1499:C1517"/>
    <mergeCell ref="F1513:G1513"/>
    <mergeCell ref="F1514:G1514"/>
    <mergeCell ref="F1515:G1515"/>
    <mergeCell ref="F1533:G1533"/>
    <mergeCell ref="F1522:G1522"/>
    <mergeCell ref="F1523:G1523"/>
    <mergeCell ref="F1524:G1524"/>
    <mergeCell ref="F1525:G1525"/>
    <mergeCell ref="B2183:C2195"/>
    <mergeCell ref="B1539:C1540"/>
    <mergeCell ref="D1548:G1548"/>
    <mergeCell ref="F1538:G1538"/>
    <mergeCell ref="B1896:C1940"/>
    <mergeCell ref="F1546:G1546"/>
    <mergeCell ref="F1531:G1531"/>
    <mergeCell ref="F1532:G1532"/>
    <mergeCell ref="D1542:G1542"/>
    <mergeCell ref="F1509:G1509"/>
    <mergeCell ref="F1510:G1510"/>
    <mergeCell ref="F1511:G1511"/>
    <mergeCell ref="F1512:G1512"/>
    <mergeCell ref="F1536:G1536"/>
    <mergeCell ref="F1504:G1504"/>
    <mergeCell ref="B1541:H1541"/>
    <mergeCell ref="B1547:H1547"/>
    <mergeCell ref="F499:G499"/>
    <mergeCell ref="F501:G501"/>
    <mergeCell ref="F503:G503"/>
    <mergeCell ref="F505:G505"/>
    <mergeCell ref="F496:G496"/>
    <mergeCell ref="F498:G498"/>
    <mergeCell ref="F511:G511"/>
    <mergeCell ref="F1489:G1489"/>
    <mergeCell ref="F1108:G1108"/>
    <mergeCell ref="F1095:G1095"/>
    <mergeCell ref="F1096:G1096"/>
    <mergeCell ref="F1097:G1097"/>
    <mergeCell ref="F1098:G1098"/>
    <mergeCell ref="B541:C541"/>
    <mergeCell ref="B543:C543"/>
    <mergeCell ref="B545:C545"/>
    <mergeCell ref="F1477:G1477"/>
    <mergeCell ref="F1478:G1478"/>
    <mergeCell ref="F797:G797"/>
    <mergeCell ref="F754:G754"/>
    <mergeCell ref="F547:G547"/>
    <mergeCell ref="F655:G655"/>
    <mergeCell ref="F656:G656"/>
    <mergeCell ref="F657:G657"/>
    <mergeCell ref="F606:G606"/>
    <mergeCell ref="F607:G607"/>
    <mergeCell ref="F608:G608"/>
    <mergeCell ref="F609:G609"/>
    <mergeCell ref="F720:G720"/>
    <mergeCell ref="F721:G721"/>
    <mergeCell ref="F707:G707"/>
    <mergeCell ref="F1089:G1089"/>
    <mergeCell ref="F226:G226"/>
    <mergeCell ref="F227:G227"/>
    <mergeCell ref="F228:G228"/>
    <mergeCell ref="F229:G229"/>
    <mergeCell ref="F230:G230"/>
    <mergeCell ref="F231:G231"/>
    <mergeCell ref="F449:G449"/>
    <mergeCell ref="F528:G528"/>
    <mergeCell ref="F530:G530"/>
    <mergeCell ref="F532:G532"/>
    <mergeCell ref="F502:G502"/>
    <mergeCell ref="F504:G504"/>
    <mergeCell ref="F1103:G1103"/>
    <mergeCell ref="F1110:G1110"/>
    <mergeCell ref="F1111:G1111"/>
    <mergeCell ref="F1107:G1107"/>
    <mergeCell ref="F1519:G1519"/>
    <mergeCell ref="F536:G536"/>
    <mergeCell ref="F538:G538"/>
    <mergeCell ref="F533:G533"/>
    <mergeCell ref="F535:G535"/>
    <mergeCell ref="F537:G537"/>
    <mergeCell ref="F539:G539"/>
    <mergeCell ref="F1499:G1499"/>
    <mergeCell ref="F1507:G1507"/>
    <mergeCell ref="F1501:G1501"/>
    <mergeCell ref="F1502:G1502"/>
    <mergeCell ref="F1503:G1503"/>
    <mergeCell ref="F658:G658"/>
    <mergeCell ref="F659:G659"/>
    <mergeCell ref="F710:G710"/>
    <mergeCell ref="F728:G728"/>
    <mergeCell ref="F473:G473"/>
    <mergeCell ref="F475:G475"/>
    <mergeCell ref="F477:G477"/>
    <mergeCell ref="F479:G479"/>
    <mergeCell ref="F558:G558"/>
    <mergeCell ref="D2228:G2228"/>
    <mergeCell ref="D1497:G1497"/>
    <mergeCell ref="F1539:G1539"/>
    <mergeCell ref="F1540:G1540"/>
    <mergeCell ref="F1471:G1471"/>
    <mergeCell ref="F1472:G1472"/>
    <mergeCell ref="F1473:G1473"/>
    <mergeCell ref="F1474:G1474"/>
    <mergeCell ref="F1475:G1475"/>
    <mergeCell ref="F548:G548"/>
    <mergeCell ref="F713:G713"/>
    <mergeCell ref="F715:G715"/>
    <mergeCell ref="F872:G872"/>
    <mergeCell ref="F744:G744"/>
    <mergeCell ref="F794:G794"/>
    <mergeCell ref="F796:G796"/>
    <mergeCell ref="F1520:G1520"/>
    <mergeCell ref="F1544:G1544"/>
    <mergeCell ref="F1545:G1545"/>
    <mergeCell ref="F1521:G1521"/>
    <mergeCell ref="F620:G620"/>
    <mergeCell ref="F614:G614"/>
    <mergeCell ref="F615:G615"/>
    <mergeCell ref="F616:G616"/>
    <mergeCell ref="F617:G617"/>
    <mergeCell ref="F745:G745"/>
    <mergeCell ref="F497:G497"/>
    <mergeCell ref="B1:H1"/>
    <mergeCell ref="B2:H2"/>
    <mergeCell ref="B3:H3"/>
    <mergeCell ref="B5:H5"/>
    <mergeCell ref="B10:H10"/>
    <mergeCell ref="F224:G224"/>
    <mergeCell ref="F18:G18"/>
    <mergeCell ref="F17:G17"/>
    <mergeCell ref="D11:G11"/>
    <mergeCell ref="B18:C18"/>
    <mergeCell ref="B13:C16"/>
    <mergeCell ref="D4:G4"/>
    <mergeCell ref="F69:G69"/>
    <mergeCell ref="B8:H8"/>
    <mergeCell ref="B222:C223"/>
    <mergeCell ref="B193:C203"/>
    <mergeCell ref="B205:C208"/>
    <mergeCell ref="B210:C210"/>
    <mergeCell ref="B212:C213"/>
    <mergeCell ref="B215:C220"/>
    <mergeCell ref="B91:C111"/>
    <mergeCell ref="D7:G7"/>
    <mergeCell ref="B20:C20"/>
    <mergeCell ref="B6:H6"/>
    <mergeCell ref="B72:C85"/>
    <mergeCell ref="B86:C89"/>
    <mergeCell ref="F9:H9"/>
    <mergeCell ref="B55:C70"/>
    <mergeCell ref="B1090:H1090"/>
    <mergeCell ref="F739:G739"/>
    <mergeCell ref="F1427:G1427"/>
    <mergeCell ref="F1441:G1441"/>
    <mergeCell ref="F1099:G1099"/>
    <mergeCell ref="F1052:G1052"/>
    <mergeCell ref="B1086:C1089"/>
    <mergeCell ref="F1433:G1433"/>
    <mergeCell ref="F1436:G1436"/>
    <mergeCell ref="F628:G628"/>
    <mergeCell ref="F629:G629"/>
    <mergeCell ref="F635:G635"/>
    <mergeCell ref="F636:G636"/>
    <mergeCell ref="B696:C696"/>
    <mergeCell ref="B1093:C1100"/>
    <mergeCell ref="F1104:G1104"/>
    <mergeCell ref="F1105:G1105"/>
    <mergeCell ref="F633:G633"/>
    <mergeCell ref="F1101:G1101"/>
    <mergeCell ref="F1102:G1102"/>
    <mergeCell ref="F1100:G1100"/>
    <mergeCell ref="F743:G743"/>
    <mergeCell ref="F716:G716"/>
    <mergeCell ref="B748:C748"/>
    <mergeCell ref="B746:C746"/>
    <mergeCell ref="F724:G724"/>
    <mergeCell ref="F725:G725"/>
    <mergeCell ref="F727:G727"/>
    <mergeCell ref="F731:G731"/>
    <mergeCell ref="F730:G730"/>
    <mergeCell ref="F1438:G1438"/>
    <mergeCell ref="F1440:G1440"/>
    <mergeCell ref="F576:G576"/>
    <mergeCell ref="F577:G577"/>
    <mergeCell ref="F513:G513"/>
    <mergeCell ref="F514:G514"/>
    <mergeCell ref="F243:G243"/>
    <mergeCell ref="D425:G425"/>
    <mergeCell ref="D357:G357"/>
    <mergeCell ref="F348:G348"/>
    <mergeCell ref="F250:G250"/>
    <mergeCell ref="F245:G245"/>
    <mergeCell ref="F246:G246"/>
    <mergeCell ref="F288:G288"/>
    <mergeCell ref="F447:G447"/>
    <mergeCell ref="F289:G289"/>
    <mergeCell ref="F290:G290"/>
    <mergeCell ref="F291:G291"/>
    <mergeCell ref="F295:G295"/>
    <mergeCell ref="F443:G443"/>
    <mergeCell ref="F444:G444"/>
    <mergeCell ref="F445:G445"/>
    <mergeCell ref="F261:G261"/>
    <mergeCell ref="F434:G434"/>
    <mergeCell ref="F506:G506"/>
    <mergeCell ref="F508:G508"/>
    <mergeCell ref="F267:G267"/>
    <mergeCell ref="F525:G525"/>
    <mergeCell ref="F527:G527"/>
    <mergeCell ref="F529:G529"/>
    <mergeCell ref="F531:G531"/>
    <mergeCell ref="F521:G521"/>
    <mergeCell ref="F522:G522"/>
    <mergeCell ref="F523:G523"/>
    <mergeCell ref="F437:G437"/>
    <mergeCell ref="F296:G296"/>
    <mergeCell ref="D332:H332"/>
    <mergeCell ref="D324:G324"/>
    <mergeCell ref="D333:G333"/>
    <mergeCell ref="F553:G553"/>
    <mergeCell ref="F442:G442"/>
    <mergeCell ref="F427:G427"/>
    <mergeCell ref="F428:G428"/>
    <mergeCell ref="F429:G429"/>
    <mergeCell ref="F430:G430"/>
    <mergeCell ref="F431:G431"/>
    <mergeCell ref="F256:G256"/>
    <mergeCell ref="F257:G257"/>
    <mergeCell ref="F258:G258"/>
    <mergeCell ref="F233:G233"/>
    <mergeCell ref="F234:G234"/>
    <mergeCell ref="F432:G432"/>
    <mergeCell ref="F433:G433"/>
    <mergeCell ref="F500:G500"/>
    <mergeCell ref="F507:G507"/>
    <mergeCell ref="F509:G509"/>
    <mergeCell ref="F481:G481"/>
    <mergeCell ref="F492:G492"/>
    <mergeCell ref="F482:G482"/>
    <mergeCell ref="F484:G484"/>
    <mergeCell ref="F486:G486"/>
    <mergeCell ref="F483:G483"/>
    <mergeCell ref="F485:G485"/>
    <mergeCell ref="F274:G274"/>
    <mergeCell ref="F268:G268"/>
    <mergeCell ref="F471:G471"/>
    <mergeCell ref="F270:G270"/>
    <mergeCell ref="F272:G272"/>
    <mergeCell ref="F271:G271"/>
    <mergeCell ref="F273:G273"/>
    <mergeCell ref="F235:G235"/>
    <mergeCell ref="F236:G236"/>
    <mergeCell ref="F260:G260"/>
    <mergeCell ref="F241:G241"/>
    <mergeCell ref="F242:G242"/>
    <mergeCell ref="F244:G244"/>
    <mergeCell ref="F278:G278"/>
    <mergeCell ref="F285:G285"/>
    <mergeCell ref="F276:G276"/>
    <mergeCell ref="F263:G263"/>
    <mergeCell ref="F264:G264"/>
    <mergeCell ref="F265:G265"/>
    <mergeCell ref="F266:G266"/>
    <mergeCell ref="F262:G262"/>
    <mergeCell ref="F237:G237"/>
    <mergeCell ref="F238:G238"/>
    <mergeCell ref="F247:G247"/>
    <mergeCell ref="F248:G248"/>
    <mergeCell ref="F249:G249"/>
    <mergeCell ref="F253:G253"/>
    <mergeCell ref="F277:G277"/>
    <mergeCell ref="F240:G240"/>
    <mergeCell ref="F255:G255"/>
    <mergeCell ref="F251:G251"/>
    <mergeCell ref="F252:G252"/>
    <mergeCell ref="F279:G279"/>
    <mergeCell ref="F280:G280"/>
    <mergeCell ref="F281:G281"/>
    <mergeCell ref="F347:G347"/>
    <mergeCell ref="F286:G286"/>
    <mergeCell ref="D305:G305"/>
    <mergeCell ref="B323:H323"/>
    <mergeCell ref="F328:G328"/>
    <mergeCell ref="B304:H304"/>
    <mergeCell ref="B260:C281"/>
    <mergeCell ref="F282:G282"/>
    <mergeCell ref="B335:C336"/>
    <mergeCell ref="B283:C296"/>
    <mergeCell ref="B225:C225"/>
    <mergeCell ref="F259:G259"/>
    <mergeCell ref="F254:G254"/>
    <mergeCell ref="B354:C355"/>
    <mergeCell ref="F582:G582"/>
    <mergeCell ref="F580:G580"/>
    <mergeCell ref="F581:G581"/>
    <mergeCell ref="B566:H566"/>
    <mergeCell ref="F568:G568"/>
    <mergeCell ref="B569:C570"/>
    <mergeCell ref="F569:G569"/>
    <mergeCell ref="F570:G570"/>
    <mergeCell ref="B572:C572"/>
    <mergeCell ref="F574:G574"/>
    <mergeCell ref="F232:G232"/>
    <mergeCell ref="B580:C581"/>
    <mergeCell ref="B424:H424"/>
    <mergeCell ref="F426:G426"/>
    <mergeCell ref="F517:G517"/>
    <mergeCell ref="F239:G239"/>
    <mergeCell ref="F225:G225"/>
    <mergeCell ref="F269:G269"/>
    <mergeCell ref="F452:G452"/>
    <mergeCell ref="F287:G287"/>
    <mergeCell ref="F438:G438"/>
    <mergeCell ref="B298:C298"/>
    <mergeCell ref="B338:C339"/>
    <mergeCell ref="F293:G293"/>
    <mergeCell ref="F294:G294"/>
    <mergeCell ref="B359:C366"/>
    <mergeCell ref="F275:G275"/>
    <mergeCell ref="F283:G283"/>
    <mergeCell ref="F284:G284"/>
    <mergeCell ref="F468:G468"/>
    <mergeCell ref="F469:G469"/>
    <mergeCell ref="F460:G460"/>
    <mergeCell ref="F461:G461"/>
    <mergeCell ref="F462:G462"/>
    <mergeCell ref="F463:G463"/>
    <mergeCell ref="F453:G453"/>
    <mergeCell ref="F464:G464"/>
    <mergeCell ref="F456:G456"/>
    <mergeCell ref="F457:G457"/>
    <mergeCell ref="F435:G435"/>
    <mergeCell ref="F436:G436"/>
    <mergeCell ref="F439:G439"/>
    <mergeCell ref="F440:G440"/>
    <mergeCell ref="F441:G441"/>
    <mergeCell ref="F292:G292"/>
    <mergeCell ref="B356:H356"/>
    <mergeCell ref="B331:H331"/>
    <mergeCell ref="F446:G446"/>
    <mergeCell ref="B300:C300"/>
    <mergeCell ref="F448:G448"/>
    <mergeCell ref="F1106:G1106"/>
    <mergeCell ref="B351:C352"/>
    <mergeCell ref="B341:C342"/>
    <mergeCell ref="B344:C345"/>
    <mergeCell ref="B326:C327"/>
    <mergeCell ref="B333:C333"/>
    <mergeCell ref="F330:G330"/>
    <mergeCell ref="B329:C330"/>
    <mergeCell ref="D346:G346"/>
    <mergeCell ref="F329:G329"/>
    <mergeCell ref="F588:G588"/>
    <mergeCell ref="F625:G625"/>
    <mergeCell ref="F458:G458"/>
    <mergeCell ref="F459:G459"/>
    <mergeCell ref="F454:G454"/>
    <mergeCell ref="F455:G455"/>
    <mergeCell ref="F465:G465"/>
    <mergeCell ref="F466:G466"/>
    <mergeCell ref="F467:G467"/>
    <mergeCell ref="F450:G450"/>
    <mergeCell ref="F451:G451"/>
    <mergeCell ref="B346:C346"/>
    <mergeCell ref="B348:C349"/>
    <mergeCell ref="F349:G349"/>
    <mergeCell ref="F578:G578"/>
    <mergeCell ref="F575:G575"/>
    <mergeCell ref="F470:G470"/>
    <mergeCell ref="F472:G472"/>
    <mergeCell ref="F474:G474"/>
    <mergeCell ref="F476:G476"/>
    <mergeCell ref="F478:G478"/>
    <mergeCell ref="F480:G480"/>
    <mergeCell ref="F1488:G1488"/>
    <mergeCell ref="F1051:G1051"/>
    <mergeCell ref="F729:G729"/>
    <mergeCell ref="F726:G726"/>
    <mergeCell ref="F767:G767"/>
    <mergeCell ref="F766:G766"/>
    <mergeCell ref="F768:G768"/>
    <mergeCell ref="F770:G770"/>
    <mergeCell ref="B817:C817"/>
    <mergeCell ref="B797:C797"/>
    <mergeCell ref="F761:G761"/>
    <mergeCell ref="B557:C557"/>
    <mergeCell ref="B555:C555"/>
    <mergeCell ref="B533:C533"/>
    <mergeCell ref="B531:C531"/>
    <mergeCell ref="B2252:C2262"/>
    <mergeCell ref="F1093:G1093"/>
    <mergeCell ref="F1094:G1094"/>
    <mergeCell ref="F1457:G1457"/>
    <mergeCell ref="F1428:G1428"/>
    <mergeCell ref="F1430:G1430"/>
    <mergeCell ref="F1432:G1432"/>
    <mergeCell ref="F1445:G1445"/>
    <mergeCell ref="F1447:G1447"/>
    <mergeCell ref="F1449:G1449"/>
    <mergeCell ref="F1451:G1451"/>
    <mergeCell ref="F1453:G1453"/>
    <mergeCell ref="F1455:G1455"/>
    <mergeCell ref="F1452:G1452"/>
    <mergeCell ref="F1454:G1454"/>
    <mergeCell ref="F1112:G1112"/>
    <mergeCell ref="F1109:G1109"/>
    <mergeCell ref="B752:C752"/>
    <mergeCell ref="F822:G822"/>
    <mergeCell ref="B1298:C1298"/>
    <mergeCell ref="B2272:C2275"/>
    <mergeCell ref="B1159:C1176"/>
    <mergeCell ref="B1152:C1154"/>
    <mergeCell ref="B1156:C1157"/>
    <mergeCell ref="B2206:C2226"/>
    <mergeCell ref="F873:G873"/>
    <mergeCell ref="F874:G874"/>
    <mergeCell ref="B1114:H1114"/>
    <mergeCell ref="D1115:G1115"/>
    <mergeCell ref="F1080:G1080"/>
    <mergeCell ref="F1081:G1081"/>
    <mergeCell ref="F1082:G1082"/>
    <mergeCell ref="B1073:H1073"/>
    <mergeCell ref="F1092:G1092"/>
    <mergeCell ref="B1941:C1985"/>
    <mergeCell ref="B2110:C2120"/>
    <mergeCell ref="B2147:C2165"/>
    <mergeCell ref="B1494:C1495"/>
    <mergeCell ref="B1755:C1760"/>
    <mergeCell ref="B959:C968"/>
    <mergeCell ref="F1468:G1468"/>
    <mergeCell ref="F1456:G1456"/>
    <mergeCell ref="F1465:G1465"/>
    <mergeCell ref="F1466:G1466"/>
    <mergeCell ref="B1348:C1362"/>
    <mergeCell ref="F1461:G1461"/>
    <mergeCell ref="F1485:G1485"/>
    <mergeCell ref="F1486:G1486"/>
    <mergeCell ref="F1487:G1487"/>
    <mergeCell ref="F824:G824"/>
    <mergeCell ref="F1537:G1537"/>
    <mergeCell ref="F637:G637"/>
    <mergeCell ref="F638:G638"/>
    <mergeCell ref="F641:G641"/>
    <mergeCell ref="F642:G642"/>
    <mergeCell ref="F640:G640"/>
    <mergeCell ref="B641:C642"/>
    <mergeCell ref="F643:G643"/>
    <mergeCell ref="F644:G644"/>
    <mergeCell ref="F645:G645"/>
    <mergeCell ref="F646:G646"/>
    <mergeCell ref="F647:G647"/>
    <mergeCell ref="F648:G648"/>
    <mergeCell ref="F649:G649"/>
    <mergeCell ref="F650:G650"/>
    <mergeCell ref="F651:G651"/>
    <mergeCell ref="F652:G652"/>
    <mergeCell ref="F818:G818"/>
    <mergeCell ref="F813:G813"/>
    <mergeCell ref="F799:G799"/>
    <mergeCell ref="F805:G805"/>
    <mergeCell ref="F809:G809"/>
    <mergeCell ref="F816:G816"/>
    <mergeCell ref="F817:G817"/>
    <mergeCell ref="F811:G811"/>
    <mergeCell ref="F815:G815"/>
    <mergeCell ref="F812:G812"/>
    <mergeCell ref="F798:G798"/>
    <mergeCell ref="F804:G804"/>
    <mergeCell ref="F810:G810"/>
    <mergeCell ref="B754:C754"/>
    <mergeCell ref="F823:G823"/>
    <mergeCell ref="B750:C750"/>
    <mergeCell ref="B1806:C1850"/>
    <mergeCell ref="B1859:C1895"/>
    <mergeCell ref="F775:G775"/>
    <mergeCell ref="F777:G777"/>
    <mergeCell ref="F776:G776"/>
    <mergeCell ref="B776:C776"/>
    <mergeCell ref="B774:C774"/>
    <mergeCell ref="B772:C772"/>
    <mergeCell ref="F784:G784"/>
    <mergeCell ref="F785:G785"/>
    <mergeCell ref="F786:G786"/>
    <mergeCell ref="F1084:G1084"/>
    <mergeCell ref="B819:C819"/>
    <mergeCell ref="B821:C821"/>
    <mergeCell ref="B823:C823"/>
    <mergeCell ref="B825:C825"/>
    <mergeCell ref="F1079:G1079"/>
    <mergeCell ref="F1450:G1450"/>
    <mergeCell ref="F1442:G1442"/>
    <mergeCell ref="F1426:G1426"/>
    <mergeCell ref="B1080:C1084"/>
    <mergeCell ref="F1083:G1083"/>
    <mergeCell ref="B844:H844"/>
    <mergeCell ref="D845:G845"/>
    <mergeCell ref="B1066:H1066"/>
    <mergeCell ref="B1069:C1070"/>
    <mergeCell ref="F843:G843"/>
    <mergeCell ref="B853:C853"/>
    <mergeCell ref="F840:G840"/>
    <mergeCell ref="F802:G802"/>
  </mergeCells>
  <phoneticPr fontId="5" type="noConversion"/>
  <conditionalFormatting sqref="D55:D70 D72:D89 D22:D49 D91:D96 D1348:D1362 D1468:D1469 D932:D933 D1427:D1458 D283:D294 D427:D464 D260:D281 D300 D1591:D1596 D145 D125:D126 D1629:D1632 D157 D986:D988 D990 D1641 D113:D114 D1564:D1572 D956 D1645 D1649 D1661 D1664 D1667 D1671:D1675 D1948:D1951 D1689:D1723 D2147:D2181 D1376 D935 D2032:D2036 D116 D118 D307:D321 D1385:D1410 D1414:D1425 D193:D203 D302:D303 D2110:D2115 D2118:D2125">
    <cfRule type="containsText" dxfId="538" priority="676" operator="containsText" text="m2">
      <formula>NOT(ISERROR(SEARCH("m2",D22)))</formula>
    </cfRule>
  </conditionalFormatting>
  <conditionalFormatting sqref="D20">
    <cfRule type="containsText" dxfId="537" priority="663" operator="containsText" text="m2">
      <formula>NOT(ISERROR(SEARCH("m2",D20)))</formula>
    </cfRule>
  </conditionalFormatting>
  <conditionalFormatting sqref="D18">
    <cfRule type="containsText" dxfId="536" priority="662" operator="containsText" text="m2">
      <formula>NOT(ISERROR(SEARCH("m2",D18)))</formula>
    </cfRule>
  </conditionalFormatting>
  <conditionalFormatting sqref="D13:D16">
    <cfRule type="containsText" dxfId="535" priority="661" operator="containsText" text="m2">
      <formula>NOT(ISERROR(SEARCH("m2",D13)))</formula>
    </cfRule>
  </conditionalFormatting>
  <conditionalFormatting sqref="D54">
    <cfRule type="containsText" dxfId="534" priority="660" operator="containsText" text="m2">
      <formula>NOT(ISERROR(SEARCH("m2",D54)))</formula>
    </cfRule>
  </conditionalFormatting>
  <conditionalFormatting sqref="D71">
    <cfRule type="containsText" dxfId="533" priority="659" operator="containsText" text="m2">
      <formula>NOT(ISERROR(SEARCH("m2",D71)))</formula>
    </cfRule>
  </conditionalFormatting>
  <conditionalFormatting sqref="D205:D208">
    <cfRule type="containsText" dxfId="532" priority="653" operator="containsText" text="m2">
      <formula>NOT(ISERROR(SEARCH("m2",D205)))</formula>
    </cfRule>
  </conditionalFormatting>
  <conditionalFormatting sqref="D210">
    <cfRule type="containsText" dxfId="531" priority="652" operator="containsText" text="m2">
      <formula>NOT(ISERROR(SEARCH("m2",D210)))</formula>
    </cfRule>
  </conditionalFormatting>
  <conditionalFormatting sqref="D212:D213">
    <cfRule type="containsText" dxfId="530" priority="651" operator="containsText" text="m2">
      <formula>NOT(ISERROR(SEARCH("m2",D212)))</formula>
    </cfRule>
  </conditionalFormatting>
  <conditionalFormatting sqref="D215:D220">
    <cfRule type="containsText" dxfId="529" priority="650" operator="containsText" text="m2">
      <formula>NOT(ISERROR(SEARCH("m2",D215)))</formula>
    </cfRule>
  </conditionalFormatting>
  <conditionalFormatting sqref="D222:D223">
    <cfRule type="containsText" dxfId="528" priority="649" operator="containsText" text="m2">
      <formula>NOT(ISERROR(SEARCH("m2",D222)))</formula>
    </cfRule>
  </conditionalFormatting>
  <conditionalFormatting sqref="D225 D227:D258">
    <cfRule type="containsText" dxfId="527" priority="648" operator="containsText" text="m2">
      <formula>NOT(ISERROR(SEARCH("m2",D225)))</formula>
    </cfRule>
  </conditionalFormatting>
  <conditionalFormatting sqref="D298">
    <cfRule type="containsText" dxfId="526" priority="646" operator="containsText" text="m2">
      <formula>NOT(ISERROR(SEARCH("m2",D298)))</formula>
    </cfRule>
  </conditionalFormatting>
  <conditionalFormatting sqref="D97">
    <cfRule type="containsText" dxfId="525" priority="601" operator="containsText" text="m2">
      <formula>NOT(ISERROR(SEARCH("m2",D97)))</formula>
    </cfRule>
  </conditionalFormatting>
  <conditionalFormatting sqref="D98">
    <cfRule type="containsText" dxfId="524" priority="600" operator="containsText" text="m2">
      <formula>NOT(ISERROR(SEARCH("m2",D98)))</formula>
    </cfRule>
  </conditionalFormatting>
  <conditionalFormatting sqref="D99">
    <cfRule type="containsText" dxfId="523" priority="599" operator="containsText" text="m2">
      <formula>NOT(ISERROR(SEARCH("m2",D99)))</formula>
    </cfRule>
  </conditionalFormatting>
  <conditionalFormatting sqref="D100">
    <cfRule type="containsText" dxfId="522" priority="598" operator="containsText" text="m2">
      <formula>NOT(ISERROR(SEARCH("m2",D100)))</formula>
    </cfRule>
  </conditionalFormatting>
  <conditionalFormatting sqref="D101">
    <cfRule type="containsText" dxfId="521" priority="597" operator="containsText" text="m2">
      <formula>NOT(ISERROR(SEARCH("m2",D101)))</formula>
    </cfRule>
  </conditionalFormatting>
  <conditionalFormatting sqref="D1364">
    <cfRule type="containsText" dxfId="520" priority="596" operator="containsText" text="m2">
      <formula>NOT(ISERROR(SEARCH("m2",D1364)))</formula>
    </cfRule>
  </conditionalFormatting>
  <conditionalFormatting sqref="D1187:D1189">
    <cfRule type="containsText" dxfId="519" priority="595" operator="containsText" text="m2">
      <formula>NOT(ISERROR(SEARCH("m2",D1187)))</formula>
    </cfRule>
  </conditionalFormatting>
  <conditionalFormatting sqref="D1190">
    <cfRule type="containsText" dxfId="518" priority="594" operator="containsText" text="m2">
      <formula>NOT(ISERROR(SEARCH("m2",D1190)))</formula>
    </cfRule>
  </conditionalFormatting>
  <conditionalFormatting sqref="D1191">
    <cfRule type="containsText" dxfId="517" priority="593" operator="containsText" text="m2">
      <formula>NOT(ISERROR(SEARCH("m2",D1191)))</formula>
    </cfRule>
  </conditionalFormatting>
  <conditionalFormatting sqref="D1192">
    <cfRule type="containsText" dxfId="516" priority="592" operator="containsText" text="m2">
      <formula>NOT(ISERROR(SEARCH("m2",D1192)))</formula>
    </cfRule>
  </conditionalFormatting>
  <conditionalFormatting sqref="D1193">
    <cfRule type="containsText" dxfId="515" priority="591" operator="containsText" text="m2">
      <formula>NOT(ISERROR(SEARCH("m2",D1193)))</formula>
    </cfRule>
  </conditionalFormatting>
  <conditionalFormatting sqref="D1194">
    <cfRule type="containsText" dxfId="514" priority="590" operator="containsText" text="m2">
      <formula>NOT(ISERROR(SEARCH("m2",D1194)))</formula>
    </cfRule>
  </conditionalFormatting>
  <conditionalFormatting sqref="D1373:D1378">
    <cfRule type="containsText" dxfId="513" priority="582" operator="containsText" text="m2">
      <formula>NOT(ISERROR(SEARCH("m2",D1373)))</formula>
    </cfRule>
  </conditionalFormatting>
  <conditionalFormatting sqref="D1365">
    <cfRule type="containsText" dxfId="512" priority="587" operator="containsText" text="m2">
      <formula>NOT(ISERROR(SEARCH("m2",D1365)))</formula>
    </cfRule>
  </conditionalFormatting>
  <conditionalFormatting sqref="D1366:D1367">
    <cfRule type="containsText" dxfId="511" priority="586" operator="containsText" text="m2">
      <formula>NOT(ISERROR(SEARCH("m2",D1366)))</formula>
    </cfRule>
  </conditionalFormatting>
  <conditionalFormatting sqref="D1368:D1370">
    <cfRule type="containsText" dxfId="510" priority="585" operator="containsText" text="m2">
      <formula>NOT(ISERROR(SEARCH("m2",D1368)))</formula>
    </cfRule>
  </conditionalFormatting>
  <conditionalFormatting sqref="D1371:D1372">
    <cfRule type="containsText" dxfId="509" priority="583" operator="containsText" text="m2">
      <formula>NOT(ISERROR(SEARCH("m2",D1371)))</formula>
    </cfRule>
  </conditionalFormatting>
  <conditionalFormatting sqref="D1460:D1462">
    <cfRule type="containsText" dxfId="508" priority="580" operator="containsText" text="m2">
      <formula>NOT(ISERROR(SEARCH("m2",D1460)))</formula>
    </cfRule>
  </conditionalFormatting>
  <conditionalFormatting sqref="D1463:D1467">
    <cfRule type="containsText" dxfId="507" priority="579" operator="containsText" text="m2">
      <formula>NOT(ISERROR(SEARCH("m2",D1463)))</formula>
    </cfRule>
  </conditionalFormatting>
  <conditionalFormatting sqref="D1470:D1475">
    <cfRule type="containsText" dxfId="506" priority="577" operator="containsText" text="m2">
      <formula>NOT(ISERROR(SEARCH("m2",D1470)))</formula>
    </cfRule>
  </conditionalFormatting>
  <conditionalFormatting sqref="D1476:D1479">
    <cfRule type="containsText" dxfId="505" priority="576" operator="containsText" text="m2">
      <formula>NOT(ISERROR(SEARCH("m2",D1476)))</formula>
    </cfRule>
  </conditionalFormatting>
  <conditionalFormatting sqref="D1480:D1481">
    <cfRule type="containsText" dxfId="504" priority="575" operator="containsText" text="m2">
      <formula>NOT(ISERROR(SEARCH("m2",D1480)))</formula>
    </cfRule>
  </conditionalFormatting>
  <conditionalFormatting sqref="D1313:D1314">
    <cfRule type="containsText" dxfId="503" priority="573" operator="containsText" text="m2">
      <formula>NOT(ISERROR(SEARCH("m2",D1313)))</formula>
    </cfRule>
  </conditionalFormatting>
  <conditionalFormatting sqref="D1325:D1326">
    <cfRule type="containsText" dxfId="502" priority="572" operator="containsText" text="m2">
      <formula>NOT(ISERROR(SEARCH("m2",D1325)))</formula>
    </cfRule>
  </conditionalFormatting>
  <conditionalFormatting sqref="D1551:D1553">
    <cfRule type="containsText" dxfId="501" priority="570" operator="containsText" text="m2">
      <formula>NOT(ISERROR(SEARCH("m2",D1551)))</formula>
    </cfRule>
  </conditionalFormatting>
  <conditionalFormatting sqref="D945:D953">
    <cfRule type="containsText" dxfId="500" priority="569" operator="containsText" text="m2">
      <formula>NOT(ISERROR(SEARCH("m2",D945)))</formula>
    </cfRule>
  </conditionalFormatting>
  <conditionalFormatting sqref="D1562:D1563">
    <cfRule type="containsText" dxfId="499" priority="568" operator="containsText" text="m2">
      <formula>NOT(ISERROR(SEARCH("m2",D1562)))</formula>
    </cfRule>
  </conditionalFormatting>
  <conditionalFormatting sqref="D968 D1069:D1070 D970:D972 D1072">
    <cfRule type="containsText" dxfId="498" priority="567" operator="containsText" text="m2">
      <formula>NOT(ISERROR(SEARCH("m2",D968)))</formula>
    </cfRule>
  </conditionalFormatting>
  <conditionalFormatting sqref="D1629 D1581 D1590:D1596">
    <cfRule type="containsText" dxfId="497" priority="566" operator="containsText" text="m2">
      <formula>NOT(ISERROR(SEARCH("m2",D1581)))</formula>
    </cfRule>
  </conditionalFormatting>
  <conditionalFormatting sqref="D295:D296">
    <cfRule type="containsText" dxfId="496" priority="559" operator="containsText" text="m2">
      <formula>NOT(ISERROR(SEARCH("m2",D295)))</formula>
    </cfRule>
  </conditionalFormatting>
  <conditionalFormatting sqref="D465:D469 D471 D473 D475 D477 D479 D481 D483 D485 D487 D489 D491 D493 D495 D497 D499 D501 D503 D505 D507 D509 D511 D513 D515 D517 D519 D521 D523 D525 D527 D529 D531 D541 D543 D545 D547 D549 D551 D553 D555 D557 D559 D561 D563 D565">
    <cfRule type="containsText" dxfId="495" priority="558" operator="containsText" text="m2">
      <formula>NOT(ISERROR(SEARCH("m2",D465)))</formula>
    </cfRule>
  </conditionalFormatting>
  <conditionalFormatting sqref="D539">
    <cfRule type="containsText" dxfId="494" priority="554" operator="containsText" text="m2">
      <formula>NOT(ISERROR(SEARCH("m2",D539)))</formula>
    </cfRule>
  </conditionalFormatting>
  <conditionalFormatting sqref="D533">
    <cfRule type="containsText" dxfId="493" priority="557" operator="containsText" text="m2">
      <formula>NOT(ISERROR(SEARCH("m2",D533)))</formula>
    </cfRule>
  </conditionalFormatting>
  <conditionalFormatting sqref="D535">
    <cfRule type="containsText" dxfId="492" priority="556" operator="containsText" text="m2">
      <formula>NOT(ISERROR(SEARCH("m2",D535)))</formula>
    </cfRule>
  </conditionalFormatting>
  <conditionalFormatting sqref="D537">
    <cfRule type="containsText" dxfId="491" priority="555" operator="containsText" text="m2">
      <formula>NOT(ISERROR(SEARCH("m2",D537)))</formula>
    </cfRule>
  </conditionalFormatting>
  <conditionalFormatting sqref="D1076:D1078">
    <cfRule type="containsText" dxfId="490" priority="553" operator="containsText" text="m2">
      <formula>NOT(ISERROR(SEARCH("m2",D1076)))</formula>
    </cfRule>
  </conditionalFormatting>
  <conditionalFormatting sqref="D119:D121">
    <cfRule type="containsText" dxfId="489" priority="552" operator="containsText" text="m2">
      <formula>NOT(ISERROR(SEARCH("m2",D119)))</formula>
    </cfRule>
  </conditionalFormatting>
  <conditionalFormatting sqref="D119:D121">
    <cfRule type="containsText" dxfId="488" priority="551" operator="containsText" text="m2">
      <formula>NOT(ISERROR(SEARCH("m2",D119)))</formula>
    </cfRule>
  </conditionalFormatting>
  <conditionalFormatting sqref="D1859">
    <cfRule type="containsText" dxfId="487" priority="534" operator="containsText" text="m2">
      <formula>NOT(ISERROR(SEARCH("m2",D1859)))</formula>
    </cfRule>
  </conditionalFormatting>
  <conditionalFormatting sqref="D1565:D1566">
    <cfRule type="containsText" dxfId="486" priority="548" operator="containsText" text="m2">
      <formula>NOT(ISERROR(SEARCH("m2",D1565)))</formula>
    </cfRule>
  </conditionalFormatting>
  <conditionalFormatting sqref="D1565:D1566">
    <cfRule type="containsText" dxfId="485" priority="547" operator="containsText" text="m2">
      <formula>NOT(ISERROR(SEARCH("m2",D1565)))</formula>
    </cfRule>
  </conditionalFormatting>
  <conditionalFormatting sqref="D1564">
    <cfRule type="containsText" dxfId="484" priority="546" operator="containsText" text="m2">
      <formula>NOT(ISERROR(SEARCH("m2",D1564)))</formula>
    </cfRule>
  </conditionalFormatting>
  <conditionalFormatting sqref="D1754">
    <cfRule type="containsText" dxfId="483" priority="544" operator="containsText" text="m2">
      <formula>NOT(ISERROR(SEARCH("m2",D1754)))</formula>
    </cfRule>
  </conditionalFormatting>
  <conditionalFormatting sqref="D1755">
    <cfRule type="containsText" dxfId="482" priority="543" operator="containsText" text="m2">
      <formula>NOT(ISERROR(SEARCH("m2",D1755)))</formula>
    </cfRule>
  </conditionalFormatting>
  <conditionalFormatting sqref="D1756:D1757">
    <cfRule type="containsText" dxfId="481" priority="542" operator="containsText" text="m2">
      <formula>NOT(ISERROR(SEARCH("m2",D1756)))</formula>
    </cfRule>
  </conditionalFormatting>
  <conditionalFormatting sqref="D1756:D1757">
    <cfRule type="containsText" dxfId="480" priority="541" operator="containsText" text="m2">
      <formula>NOT(ISERROR(SEARCH("m2",D1756)))</formula>
    </cfRule>
  </conditionalFormatting>
  <conditionalFormatting sqref="D1755">
    <cfRule type="containsText" dxfId="479" priority="540" operator="containsText" text="m2">
      <formula>NOT(ISERROR(SEARCH("m2",D1755)))</formula>
    </cfRule>
  </conditionalFormatting>
  <conditionalFormatting sqref="D1858">
    <cfRule type="containsText" dxfId="478" priority="538" operator="containsText" text="m2">
      <formula>NOT(ISERROR(SEARCH("m2",D1858)))</formula>
    </cfRule>
  </conditionalFormatting>
  <conditionalFormatting sqref="D1859">
    <cfRule type="containsText" dxfId="477" priority="537" operator="containsText" text="m2">
      <formula>NOT(ISERROR(SEARCH("m2",D1859)))</formula>
    </cfRule>
  </conditionalFormatting>
  <conditionalFormatting sqref="D1860:D1861">
    <cfRule type="containsText" dxfId="476" priority="536" operator="containsText" text="m2">
      <formula>NOT(ISERROR(SEARCH("m2",D1860)))</formula>
    </cfRule>
  </conditionalFormatting>
  <conditionalFormatting sqref="D1860:D1861">
    <cfRule type="containsText" dxfId="475" priority="535" operator="containsText" text="m2">
      <formula>NOT(ISERROR(SEARCH("m2",D1860)))</formula>
    </cfRule>
  </conditionalFormatting>
  <conditionalFormatting sqref="D1862">
    <cfRule type="containsText" dxfId="474" priority="530" operator="containsText" text="m2">
      <formula>NOT(ISERROR(SEARCH("m2",D1862)))</formula>
    </cfRule>
  </conditionalFormatting>
  <conditionalFormatting sqref="D1862">
    <cfRule type="containsText" dxfId="473" priority="533" operator="containsText" text="m2">
      <formula>NOT(ISERROR(SEARCH("m2",D1862)))</formula>
    </cfRule>
  </conditionalFormatting>
  <conditionalFormatting sqref="D1863:D1864">
    <cfRule type="containsText" dxfId="472" priority="532" operator="containsText" text="m2">
      <formula>NOT(ISERROR(SEARCH("m2",D1863)))</formula>
    </cfRule>
  </conditionalFormatting>
  <conditionalFormatting sqref="D1863:D1864">
    <cfRule type="containsText" dxfId="471" priority="531" operator="containsText" text="m2">
      <formula>NOT(ISERROR(SEARCH("m2",D1863)))</formula>
    </cfRule>
  </conditionalFormatting>
  <conditionalFormatting sqref="D1758">
    <cfRule type="containsText" dxfId="470" priority="529" operator="containsText" text="m2">
      <formula>NOT(ISERROR(SEARCH("m2",D1758)))</formula>
    </cfRule>
  </conditionalFormatting>
  <conditionalFormatting sqref="D1759:D1760">
    <cfRule type="containsText" dxfId="469" priority="528" operator="containsText" text="m2">
      <formula>NOT(ISERROR(SEARCH("m2",D1759)))</formula>
    </cfRule>
  </conditionalFormatting>
  <conditionalFormatting sqref="D1759:D1760">
    <cfRule type="containsText" dxfId="468" priority="527" operator="containsText" text="m2">
      <formula>NOT(ISERROR(SEARCH("m2",D1759)))</formula>
    </cfRule>
  </conditionalFormatting>
  <conditionalFormatting sqref="D1758">
    <cfRule type="containsText" dxfId="467" priority="526" operator="containsText" text="m2">
      <formula>NOT(ISERROR(SEARCH("m2",D1758)))</formula>
    </cfRule>
  </conditionalFormatting>
  <conditionalFormatting sqref="D973">
    <cfRule type="containsText" dxfId="466" priority="516" operator="containsText" text="m2">
      <formula>NOT(ISERROR(SEARCH("m2",D973)))</formula>
    </cfRule>
  </conditionalFormatting>
  <conditionalFormatting sqref="D2037">
    <cfRule type="containsText" dxfId="465" priority="524" operator="containsText" text="m2">
      <formula>NOT(ISERROR(SEARCH("m2",D2037)))</formula>
    </cfRule>
  </conditionalFormatting>
  <conditionalFormatting sqref="D2038">
    <cfRule type="containsText" dxfId="464" priority="523" operator="containsText" text="m2">
      <formula>NOT(ISERROR(SEARCH("m2",D2038)))</formula>
    </cfRule>
  </conditionalFormatting>
  <conditionalFormatting sqref="D2039:D2040">
    <cfRule type="containsText" dxfId="463" priority="522" operator="containsText" text="m2">
      <formula>NOT(ISERROR(SEARCH("m2",D2039)))</formula>
    </cfRule>
  </conditionalFormatting>
  <conditionalFormatting sqref="D2039:D2040">
    <cfRule type="containsText" dxfId="462" priority="521" operator="containsText" text="m2">
      <formula>NOT(ISERROR(SEARCH("m2",D2039)))</formula>
    </cfRule>
  </conditionalFormatting>
  <conditionalFormatting sqref="D2038">
    <cfRule type="containsText" dxfId="461" priority="520" operator="containsText" text="m2">
      <formula>NOT(ISERROR(SEARCH("m2",D2038)))</formula>
    </cfRule>
  </conditionalFormatting>
  <conditionalFormatting sqref="D973">
    <cfRule type="containsText" dxfId="460" priority="519" operator="containsText" text="m2">
      <formula>NOT(ISERROR(SEARCH("m2",D973)))</formula>
    </cfRule>
  </conditionalFormatting>
  <conditionalFormatting sqref="D974:D975 D1051:D1056">
    <cfRule type="containsText" dxfId="459" priority="518" operator="containsText" text="m2">
      <formula>NOT(ISERROR(SEARCH("m2",D974)))</formula>
    </cfRule>
  </conditionalFormatting>
  <conditionalFormatting sqref="D974:D975 D1051:D1056">
    <cfRule type="containsText" dxfId="458" priority="517" operator="containsText" text="m2">
      <formula>NOT(ISERROR(SEARCH("m2",D974)))</formula>
    </cfRule>
  </conditionalFormatting>
  <conditionalFormatting sqref="D122">
    <cfRule type="containsText" dxfId="457" priority="512" operator="containsText" text="m2">
      <formula>NOT(ISERROR(SEARCH("m2",D122)))</formula>
    </cfRule>
  </conditionalFormatting>
  <conditionalFormatting sqref="D128">
    <cfRule type="containsText" dxfId="456" priority="505" operator="containsText" text="m2">
      <formula>NOT(ISERROR(SEARCH("m2",D128)))</formula>
    </cfRule>
  </conditionalFormatting>
  <conditionalFormatting sqref="D122">
    <cfRule type="containsText" dxfId="455" priority="515" operator="containsText" text="m2">
      <formula>NOT(ISERROR(SEARCH("m2",D122)))</formula>
    </cfRule>
  </conditionalFormatting>
  <conditionalFormatting sqref="D123:D124">
    <cfRule type="containsText" dxfId="454" priority="514" operator="containsText" text="m2">
      <formula>NOT(ISERROR(SEARCH("m2",D123)))</formula>
    </cfRule>
  </conditionalFormatting>
  <conditionalFormatting sqref="D123:D124">
    <cfRule type="containsText" dxfId="453" priority="513" operator="containsText" text="m2">
      <formula>NOT(ISERROR(SEARCH("m2",D123)))</formula>
    </cfRule>
  </conditionalFormatting>
  <conditionalFormatting sqref="D127">
    <cfRule type="containsText" dxfId="452" priority="508" operator="containsText" text="m2">
      <formula>NOT(ISERROR(SEARCH("m2",D127)))</formula>
    </cfRule>
  </conditionalFormatting>
  <conditionalFormatting sqref="D127">
    <cfRule type="containsText" dxfId="451" priority="507" operator="containsText" text="m2">
      <formula>NOT(ISERROR(SEARCH("m2",D127)))</formula>
    </cfRule>
  </conditionalFormatting>
  <conditionalFormatting sqref="D128">
    <cfRule type="containsText" dxfId="450" priority="506" operator="containsText" text="m2">
      <formula>NOT(ISERROR(SEARCH("m2",D128)))</formula>
    </cfRule>
  </conditionalFormatting>
  <conditionalFormatting sqref="D1058:D1059">
    <cfRule type="containsText" dxfId="449" priority="504" operator="containsText" text="m2">
      <formula>NOT(ISERROR(SEARCH("m2",D1058)))</formula>
    </cfRule>
  </conditionalFormatting>
  <conditionalFormatting sqref="D1061">
    <cfRule type="containsText" dxfId="448" priority="500" operator="containsText" text="m2">
      <formula>NOT(ISERROR(SEARCH("m2",D1061)))</formula>
    </cfRule>
  </conditionalFormatting>
  <conditionalFormatting sqref="D1060">
    <cfRule type="containsText" dxfId="447" priority="503" operator="containsText" text="m2">
      <formula>NOT(ISERROR(SEARCH("m2",D1060)))</formula>
    </cfRule>
  </conditionalFormatting>
  <conditionalFormatting sqref="D1060">
    <cfRule type="containsText" dxfId="446" priority="502" operator="containsText" text="m2">
      <formula>NOT(ISERROR(SEARCH("m2",D1060)))</formula>
    </cfRule>
  </conditionalFormatting>
  <conditionalFormatting sqref="D1061">
    <cfRule type="containsText" dxfId="445" priority="501" operator="containsText" text="m2">
      <formula>NOT(ISERROR(SEARCH("m2",D1061)))</formula>
    </cfRule>
  </conditionalFormatting>
  <conditionalFormatting sqref="D1597:D1598">
    <cfRule type="containsText" dxfId="444" priority="499" operator="containsText" text="m2">
      <formula>NOT(ISERROR(SEARCH("m2",D1597)))</formula>
    </cfRule>
  </conditionalFormatting>
  <conditionalFormatting sqref="D1600">
    <cfRule type="containsText" dxfId="443" priority="495" operator="containsText" text="m2">
      <formula>NOT(ISERROR(SEARCH("m2",D1600)))</formula>
    </cfRule>
  </conditionalFormatting>
  <conditionalFormatting sqref="D1599">
    <cfRule type="containsText" dxfId="442" priority="498" operator="containsText" text="m2">
      <formula>NOT(ISERROR(SEARCH("m2",D1599)))</formula>
    </cfRule>
  </conditionalFormatting>
  <conditionalFormatting sqref="D1599">
    <cfRule type="containsText" dxfId="441" priority="497" operator="containsText" text="m2">
      <formula>NOT(ISERROR(SEARCH("m2",D1599)))</formula>
    </cfRule>
  </conditionalFormatting>
  <conditionalFormatting sqref="D1600">
    <cfRule type="containsText" dxfId="440" priority="496" operator="containsText" text="m2">
      <formula>NOT(ISERROR(SEARCH("m2",D1600)))</formula>
    </cfRule>
  </conditionalFormatting>
  <conditionalFormatting sqref="D1062:D1063">
    <cfRule type="containsText" dxfId="439" priority="494" operator="containsText" text="m2">
      <formula>NOT(ISERROR(SEARCH("m2",D1062)))</formula>
    </cfRule>
  </conditionalFormatting>
  <conditionalFormatting sqref="D1065">
    <cfRule type="containsText" dxfId="438" priority="490" operator="containsText" text="m2">
      <formula>NOT(ISERROR(SEARCH("m2",D1065)))</formula>
    </cfRule>
  </conditionalFormatting>
  <conditionalFormatting sqref="D1064">
    <cfRule type="containsText" dxfId="437" priority="493" operator="containsText" text="m2">
      <formula>NOT(ISERROR(SEARCH("m2",D1064)))</formula>
    </cfRule>
  </conditionalFormatting>
  <conditionalFormatting sqref="D1064">
    <cfRule type="containsText" dxfId="436" priority="492" operator="containsText" text="m2">
      <formula>NOT(ISERROR(SEARCH("m2",D1064)))</formula>
    </cfRule>
  </conditionalFormatting>
  <conditionalFormatting sqref="D1065">
    <cfRule type="containsText" dxfId="435" priority="491" operator="containsText" text="m2">
      <formula>NOT(ISERROR(SEARCH("m2",D1065)))</formula>
    </cfRule>
  </conditionalFormatting>
  <conditionalFormatting sqref="D1601:D1602">
    <cfRule type="containsText" dxfId="434" priority="489" operator="containsText" text="m2">
      <formula>NOT(ISERROR(SEARCH("m2",D1601)))</formula>
    </cfRule>
  </conditionalFormatting>
  <conditionalFormatting sqref="D131">
    <cfRule type="containsText" dxfId="433" priority="482" operator="containsText" text="m2">
      <formula>NOT(ISERROR(SEARCH("m2",D131)))</formula>
    </cfRule>
  </conditionalFormatting>
  <conditionalFormatting sqref="D1603">
    <cfRule type="containsText" dxfId="432" priority="488" operator="containsText" text="m2">
      <formula>NOT(ISERROR(SEARCH("m2",D1603)))</formula>
    </cfRule>
  </conditionalFormatting>
  <conditionalFormatting sqref="D1603">
    <cfRule type="containsText" dxfId="431" priority="487" operator="containsText" text="m2">
      <formula>NOT(ISERROR(SEARCH("m2",D1603)))</formula>
    </cfRule>
  </conditionalFormatting>
  <conditionalFormatting sqref="D131">
    <cfRule type="containsText" dxfId="430" priority="483" operator="containsText" text="m2">
      <formula>NOT(ISERROR(SEARCH("m2",D131)))</formula>
    </cfRule>
  </conditionalFormatting>
  <conditionalFormatting sqref="D129:D130">
    <cfRule type="containsText" dxfId="429" priority="484" operator="containsText" text="m2">
      <formula>NOT(ISERROR(SEARCH("m2",D129)))</formula>
    </cfRule>
  </conditionalFormatting>
  <conditionalFormatting sqref="D1610">
    <cfRule type="containsText" dxfId="428" priority="475" operator="containsText" text="m2">
      <formula>NOT(ISERROR(SEARCH("m2",D1610)))</formula>
    </cfRule>
  </conditionalFormatting>
  <conditionalFormatting sqref="D1610">
    <cfRule type="containsText" dxfId="427" priority="474" operator="containsText" text="m2">
      <formula>NOT(ISERROR(SEARCH("m2",D1610)))</formula>
    </cfRule>
  </conditionalFormatting>
  <conditionalFormatting sqref="D2046 D2129:D2145">
    <cfRule type="containsText" dxfId="426" priority="468" operator="containsText" text="m2">
      <formula>NOT(ISERROR(SEARCH("m2",D2046)))</formula>
    </cfRule>
  </conditionalFormatting>
  <conditionalFormatting sqref="D1870">
    <cfRule type="containsText" dxfId="425" priority="462" operator="containsText" text="m2">
      <formula>NOT(ISERROR(SEARCH("m2",D1870)))</formula>
    </cfRule>
  </conditionalFormatting>
  <conditionalFormatting sqref="D1605:D1606">
    <cfRule type="containsText" dxfId="424" priority="481" operator="containsText" text="m2">
      <formula>NOT(ISERROR(SEARCH("m2",D1605)))</formula>
    </cfRule>
  </conditionalFormatting>
  <conditionalFormatting sqref="D2043">
    <cfRule type="containsText" dxfId="423" priority="471" operator="containsText" text="m2">
      <formula>NOT(ISERROR(SEARCH("m2",D2043)))</formula>
    </cfRule>
  </conditionalFormatting>
  <conditionalFormatting sqref="D1607">
    <cfRule type="containsText" dxfId="422" priority="480" operator="containsText" text="m2">
      <formula>NOT(ISERROR(SEARCH("m2",D1607)))</formula>
    </cfRule>
  </conditionalFormatting>
  <conditionalFormatting sqref="D1607">
    <cfRule type="containsText" dxfId="421" priority="479" operator="containsText" text="m2">
      <formula>NOT(ISERROR(SEARCH("m2",D1607)))</formula>
    </cfRule>
  </conditionalFormatting>
  <conditionalFormatting sqref="D2043">
    <cfRule type="containsText" dxfId="420" priority="472" operator="containsText" text="m2">
      <formula>NOT(ISERROR(SEARCH("m2",D2043)))</formula>
    </cfRule>
  </conditionalFormatting>
  <conditionalFormatting sqref="D1608:D1609">
    <cfRule type="containsText" dxfId="419" priority="476" operator="containsText" text="m2">
      <formula>NOT(ISERROR(SEARCH("m2",D1608)))</formula>
    </cfRule>
  </conditionalFormatting>
  <conditionalFormatting sqref="D2046 D2129:D2145">
    <cfRule type="containsText" dxfId="418" priority="469" operator="containsText" text="m2">
      <formula>NOT(ISERROR(SEARCH("m2",D2046)))</formula>
    </cfRule>
  </conditionalFormatting>
  <conditionalFormatting sqref="D1611:D1616">
    <cfRule type="containsText" dxfId="417" priority="454" operator="containsText" text="m2">
      <formula>NOT(ISERROR(SEARCH("m2",D1611)))</formula>
    </cfRule>
  </conditionalFormatting>
  <conditionalFormatting sqref="D1870">
    <cfRule type="containsText" dxfId="416" priority="463" operator="containsText" text="m2">
      <formula>NOT(ISERROR(SEARCH("m2",D1870)))</formula>
    </cfRule>
  </conditionalFormatting>
  <conditionalFormatting sqref="D1567:D1569">
    <cfRule type="containsText" dxfId="415" priority="452" operator="containsText" text="m2">
      <formula>NOT(ISERROR(SEARCH("m2",D1567)))</formula>
    </cfRule>
  </conditionalFormatting>
  <conditionalFormatting sqref="D2041:D2042">
    <cfRule type="containsText" dxfId="414" priority="473" operator="containsText" text="m2">
      <formula>NOT(ISERROR(SEARCH("m2",D2041)))</formula>
    </cfRule>
  </conditionalFormatting>
  <conditionalFormatting sqref="D1867">
    <cfRule type="containsText" dxfId="413" priority="466" operator="containsText" text="m2">
      <formula>NOT(ISERROR(SEARCH("m2",D1867)))</formula>
    </cfRule>
  </conditionalFormatting>
  <conditionalFormatting sqref="D1867">
    <cfRule type="containsText" dxfId="412" priority="465" operator="containsText" text="m2">
      <formula>NOT(ISERROR(SEARCH("m2",D1867)))</formula>
    </cfRule>
  </conditionalFormatting>
  <conditionalFormatting sqref="D2044:D2045">
    <cfRule type="containsText" dxfId="411" priority="470" operator="containsText" text="m2">
      <formula>NOT(ISERROR(SEARCH("m2",D2044)))</formula>
    </cfRule>
  </conditionalFormatting>
  <conditionalFormatting sqref="D2047">
    <cfRule type="containsText" dxfId="410" priority="432" operator="containsText" text="m2">
      <formula>NOT(ISERROR(SEARCH("m2",D2047)))</formula>
    </cfRule>
  </conditionalFormatting>
  <conditionalFormatting sqref="D1611:D1616">
    <cfRule type="containsText" dxfId="409" priority="455" operator="containsText" text="m2">
      <formula>NOT(ISERROR(SEARCH("m2",D1611)))</formula>
    </cfRule>
  </conditionalFormatting>
  <conditionalFormatting sqref="D1762">
    <cfRule type="containsText" dxfId="408" priority="458" operator="containsText" text="m2">
      <formula>NOT(ISERROR(SEARCH("m2",D1762)))</formula>
    </cfRule>
  </conditionalFormatting>
  <conditionalFormatting sqref="D2047">
    <cfRule type="containsText" dxfId="407" priority="435" operator="containsText" text="m2">
      <formula>NOT(ISERROR(SEARCH("m2",D2047)))</formula>
    </cfRule>
  </conditionalFormatting>
  <conditionalFormatting sqref="D1865:D1866">
    <cfRule type="containsText" dxfId="406" priority="467" operator="containsText" text="m2">
      <formula>NOT(ISERROR(SEARCH("m2",D1865)))</formula>
    </cfRule>
  </conditionalFormatting>
  <conditionalFormatting sqref="D1868:D1869">
    <cfRule type="containsText" dxfId="405" priority="464" operator="containsText" text="m2">
      <formula>NOT(ISERROR(SEARCH("m2",D1868)))</formula>
    </cfRule>
  </conditionalFormatting>
  <conditionalFormatting sqref="D136">
    <cfRule type="containsText" dxfId="404" priority="426" operator="containsText" text="m2">
      <formula>NOT(ISERROR(SEARCH("m2",D136)))</formula>
    </cfRule>
  </conditionalFormatting>
  <conditionalFormatting sqref="D1567:D1569">
    <cfRule type="containsText" dxfId="403" priority="453" operator="containsText" text="m2">
      <formula>NOT(ISERROR(SEARCH("m2",D1567)))</formula>
    </cfRule>
  </conditionalFormatting>
  <conditionalFormatting sqref="D1874">
    <cfRule type="containsText" dxfId="402" priority="436" operator="containsText" text="m2">
      <formula>NOT(ISERROR(SEARCH("m2",D1874)))</formula>
    </cfRule>
  </conditionalFormatting>
  <conditionalFormatting sqref="D136">
    <cfRule type="containsText" dxfId="401" priority="429" operator="containsText" text="m2">
      <formula>NOT(ISERROR(SEARCH("m2",D136)))</formula>
    </cfRule>
  </conditionalFormatting>
  <conditionalFormatting sqref="D1761">
    <cfRule type="containsText" dxfId="400" priority="461" operator="containsText" text="m2">
      <formula>NOT(ISERROR(SEARCH("m2",D1761)))</formula>
    </cfRule>
  </conditionalFormatting>
  <conditionalFormatting sqref="D133:D135">
    <cfRule type="containsText" dxfId="399" priority="430" operator="containsText" text="m2">
      <formula>NOT(ISERROR(SEARCH("m2",D133)))</formula>
    </cfRule>
  </conditionalFormatting>
  <conditionalFormatting sqref="D2048:D2049">
    <cfRule type="containsText" dxfId="398" priority="433" operator="containsText" text="m2">
      <formula>NOT(ISERROR(SEARCH("m2",D2048)))</formula>
    </cfRule>
  </conditionalFormatting>
  <conditionalFormatting sqref="D979">
    <cfRule type="containsText" dxfId="397" priority="421" operator="containsText" text="m2">
      <formula>NOT(ISERROR(SEARCH("m2",D979)))</formula>
    </cfRule>
  </conditionalFormatting>
  <conditionalFormatting sqref="D142">
    <cfRule type="containsText" dxfId="396" priority="415" operator="containsText" text="m2">
      <formula>NOT(ISERROR(SEARCH("m2",D142)))</formula>
    </cfRule>
  </conditionalFormatting>
  <conditionalFormatting sqref="D137:D138">
    <cfRule type="containsText" dxfId="395" priority="427" operator="containsText" text="m2">
      <formula>NOT(ISERROR(SEARCH("m2",D137)))</formula>
    </cfRule>
  </conditionalFormatting>
  <conditionalFormatting sqref="D1763">
    <cfRule type="containsText" dxfId="394" priority="451" operator="containsText" text="m2">
      <formula>NOT(ISERROR(SEARCH("m2",D1763)))</formula>
    </cfRule>
  </conditionalFormatting>
  <conditionalFormatting sqref="D1764:D1765">
    <cfRule type="containsText" dxfId="393" priority="450" operator="containsText" text="m2">
      <formula>NOT(ISERROR(SEARCH("m2",D1764)))</formula>
    </cfRule>
  </conditionalFormatting>
  <conditionalFormatting sqref="D1764:D1765">
    <cfRule type="containsText" dxfId="392" priority="449" operator="containsText" text="m2">
      <formula>NOT(ISERROR(SEARCH("m2",D1764)))</formula>
    </cfRule>
  </conditionalFormatting>
  <conditionalFormatting sqref="D1763">
    <cfRule type="containsText" dxfId="391" priority="448" operator="containsText" text="m2">
      <formula>NOT(ISERROR(SEARCH("m2",D1763)))</formula>
    </cfRule>
  </conditionalFormatting>
  <conditionalFormatting sqref="D1766">
    <cfRule type="containsText" dxfId="390" priority="447" operator="containsText" text="m2">
      <formula>NOT(ISERROR(SEARCH("m2",D1766)))</formula>
    </cfRule>
  </conditionalFormatting>
  <conditionalFormatting sqref="D1767:D1768">
    <cfRule type="containsText" dxfId="389" priority="446" operator="containsText" text="m2">
      <formula>NOT(ISERROR(SEARCH("m2",D1767)))</formula>
    </cfRule>
  </conditionalFormatting>
  <conditionalFormatting sqref="D1767:D1768">
    <cfRule type="containsText" dxfId="388" priority="445" operator="containsText" text="m2">
      <formula>NOT(ISERROR(SEARCH("m2",D1767)))</formula>
    </cfRule>
  </conditionalFormatting>
  <conditionalFormatting sqref="D1766">
    <cfRule type="containsText" dxfId="387" priority="444" operator="containsText" text="m2">
      <formula>NOT(ISERROR(SEARCH("m2",D1766)))</formula>
    </cfRule>
  </conditionalFormatting>
  <conditionalFormatting sqref="D1871">
    <cfRule type="containsText" dxfId="386" priority="440" operator="containsText" text="m2">
      <formula>NOT(ISERROR(SEARCH("m2",D1871)))</formula>
    </cfRule>
  </conditionalFormatting>
  <conditionalFormatting sqref="D1871">
    <cfRule type="containsText" dxfId="385" priority="443" operator="containsText" text="m2">
      <formula>NOT(ISERROR(SEARCH("m2",D1871)))</formula>
    </cfRule>
  </conditionalFormatting>
  <conditionalFormatting sqref="D1872:D1873">
    <cfRule type="containsText" dxfId="384" priority="442" operator="containsText" text="m2">
      <formula>NOT(ISERROR(SEARCH("m2",D1872)))</formula>
    </cfRule>
  </conditionalFormatting>
  <conditionalFormatting sqref="D1872:D1873">
    <cfRule type="containsText" dxfId="383" priority="441" operator="containsText" text="m2">
      <formula>NOT(ISERROR(SEARCH("m2",D1872)))</formula>
    </cfRule>
  </conditionalFormatting>
  <conditionalFormatting sqref="D976:D978">
    <cfRule type="containsText" dxfId="382" priority="425" operator="containsText" text="m2">
      <formula>NOT(ISERROR(SEARCH("m2",D976)))</formula>
    </cfRule>
  </conditionalFormatting>
  <conditionalFormatting sqref="D1874">
    <cfRule type="containsText" dxfId="381" priority="439" operator="containsText" text="m2">
      <formula>NOT(ISERROR(SEARCH("m2",D1874)))</formula>
    </cfRule>
  </conditionalFormatting>
  <conditionalFormatting sqref="D1875:D1876 D2028:D2031 D1944:D1951 D1966:D1997">
    <cfRule type="containsText" dxfId="380" priority="438" operator="containsText" text="m2">
      <formula>NOT(ISERROR(SEARCH("m2",D1875)))</formula>
    </cfRule>
  </conditionalFormatting>
  <conditionalFormatting sqref="D1875:D1876 D2028:D2031 D1944:D1951 D1966:D1997">
    <cfRule type="containsText" dxfId="379" priority="437" operator="containsText" text="m2">
      <formula>NOT(ISERROR(SEARCH("m2",D1875)))</formula>
    </cfRule>
  </conditionalFormatting>
  <conditionalFormatting sqref="D979">
    <cfRule type="containsText" dxfId="378" priority="424" operator="containsText" text="m2">
      <formula>NOT(ISERROR(SEARCH("m2",D979)))</formula>
    </cfRule>
  </conditionalFormatting>
  <conditionalFormatting sqref="D2048:D2049">
    <cfRule type="containsText" dxfId="377" priority="434" operator="containsText" text="m2">
      <formula>NOT(ISERROR(SEARCH("m2",D2048)))</formula>
    </cfRule>
  </conditionalFormatting>
  <conditionalFormatting sqref="D980:D981">
    <cfRule type="containsText" dxfId="376" priority="422" operator="containsText" text="m2">
      <formula>NOT(ISERROR(SEARCH("m2",D980)))</formula>
    </cfRule>
  </conditionalFormatting>
  <conditionalFormatting sqref="D985">
    <cfRule type="containsText" dxfId="375" priority="410" operator="containsText" text="m2">
      <formula>NOT(ISERROR(SEARCH("m2",D985)))</formula>
    </cfRule>
  </conditionalFormatting>
  <conditionalFormatting sqref="D133:D135">
    <cfRule type="containsText" dxfId="374" priority="431" operator="containsText" text="m2">
      <formula>NOT(ISERROR(SEARCH("m2",D133)))</formula>
    </cfRule>
  </conditionalFormatting>
  <conditionalFormatting sqref="D139:D141">
    <cfRule type="containsText" dxfId="373" priority="419" operator="containsText" text="m2">
      <formula>NOT(ISERROR(SEARCH("m2",D139)))</formula>
    </cfRule>
  </conditionalFormatting>
  <conditionalFormatting sqref="D1570:D1572">
    <cfRule type="containsText" dxfId="372" priority="406" operator="containsText" text="m2">
      <formula>NOT(ISERROR(SEARCH("m2",D1570)))</formula>
    </cfRule>
  </conditionalFormatting>
  <conditionalFormatting sqref="D142">
    <cfRule type="containsText" dxfId="371" priority="418" operator="containsText" text="m2">
      <formula>NOT(ISERROR(SEARCH("m2",D142)))</formula>
    </cfRule>
  </conditionalFormatting>
  <conditionalFormatting sqref="D137:D138">
    <cfRule type="containsText" dxfId="370" priority="428" operator="containsText" text="m2">
      <formula>NOT(ISERROR(SEARCH("m2",D137)))</formula>
    </cfRule>
  </conditionalFormatting>
  <conditionalFormatting sqref="D143:D144">
    <cfRule type="containsText" dxfId="369" priority="416" operator="containsText" text="m2">
      <formula>NOT(ISERROR(SEARCH("m2",D143)))</formula>
    </cfRule>
  </conditionalFormatting>
  <conditionalFormatting sqref="D982:D984">
    <cfRule type="containsText" dxfId="368" priority="414" operator="containsText" text="m2">
      <formula>NOT(ISERROR(SEARCH("m2",D982)))</formula>
    </cfRule>
  </conditionalFormatting>
  <conditionalFormatting sqref="D1772">
    <cfRule type="containsText" dxfId="367" priority="398" operator="containsText" text="m2">
      <formula>NOT(ISERROR(SEARCH("m2",D1772)))</formula>
    </cfRule>
  </conditionalFormatting>
  <conditionalFormatting sqref="D985">
    <cfRule type="containsText" dxfId="366" priority="413" operator="containsText" text="m2">
      <formula>NOT(ISERROR(SEARCH("m2",D985)))</formula>
    </cfRule>
  </conditionalFormatting>
  <conditionalFormatting sqref="D980:D981">
    <cfRule type="containsText" dxfId="365" priority="423" operator="containsText" text="m2">
      <formula>NOT(ISERROR(SEARCH("m2",D980)))</formula>
    </cfRule>
  </conditionalFormatting>
  <conditionalFormatting sqref="D2050">
    <cfRule type="containsText" dxfId="364" priority="386" operator="containsText" text="m2">
      <formula>NOT(ISERROR(SEARCH("m2",D2050)))</formula>
    </cfRule>
  </conditionalFormatting>
  <conditionalFormatting sqref="D1617:D1622">
    <cfRule type="containsText" dxfId="363" priority="409" operator="containsText" text="m2">
      <formula>NOT(ISERROR(SEARCH("m2",D1617)))</formula>
    </cfRule>
  </conditionalFormatting>
  <conditionalFormatting sqref="D1769">
    <cfRule type="containsText" dxfId="362" priority="402" operator="containsText" text="m2">
      <formula>NOT(ISERROR(SEARCH("m2",D1769)))</formula>
    </cfRule>
  </conditionalFormatting>
  <conditionalFormatting sqref="D1570:D1572">
    <cfRule type="containsText" dxfId="361" priority="407" operator="containsText" text="m2">
      <formula>NOT(ISERROR(SEARCH("m2",D1570)))</formula>
    </cfRule>
  </conditionalFormatting>
  <conditionalFormatting sqref="D139:D141">
    <cfRule type="containsText" dxfId="360" priority="420" operator="containsText" text="m2">
      <formula>NOT(ISERROR(SEARCH("m2",D139)))</formula>
    </cfRule>
  </conditionalFormatting>
  <conditionalFormatting sqref="D143:D144">
    <cfRule type="containsText" dxfId="359" priority="417" operator="containsText" text="m2">
      <formula>NOT(ISERROR(SEARCH("m2",D143)))</formula>
    </cfRule>
  </conditionalFormatting>
  <conditionalFormatting sqref="D1880">
    <cfRule type="containsText" dxfId="358" priority="390" operator="containsText" text="m2">
      <formula>NOT(ISERROR(SEARCH("m2",D1880)))</formula>
    </cfRule>
  </conditionalFormatting>
  <conditionalFormatting sqref="D1772">
    <cfRule type="containsText" dxfId="357" priority="401" operator="containsText" text="m2">
      <formula>NOT(ISERROR(SEARCH("m2",D1772)))</formula>
    </cfRule>
  </conditionalFormatting>
  <conditionalFormatting sqref="D1773:D1774">
    <cfRule type="containsText" dxfId="356" priority="399" operator="containsText" text="m2">
      <formula>NOT(ISERROR(SEARCH("m2",D1773)))</formula>
    </cfRule>
  </conditionalFormatting>
  <conditionalFormatting sqref="D1617:D1622">
    <cfRule type="containsText" dxfId="355" priority="408" operator="containsText" text="m2">
      <formula>NOT(ISERROR(SEARCH("m2",D1617)))</formula>
    </cfRule>
  </conditionalFormatting>
  <conditionalFormatting sqref="D2050">
    <cfRule type="containsText" dxfId="354" priority="389" operator="containsText" text="m2">
      <formula>NOT(ISERROR(SEARCH("m2",D2050)))</formula>
    </cfRule>
  </conditionalFormatting>
  <conditionalFormatting sqref="D2051:D2052">
    <cfRule type="containsText" dxfId="353" priority="387" operator="containsText" text="m2">
      <formula>NOT(ISERROR(SEARCH("m2",D2051)))</formula>
    </cfRule>
  </conditionalFormatting>
  <conditionalFormatting sqref="D1769">
    <cfRule type="containsText" dxfId="352" priority="405" operator="containsText" text="m2">
      <formula>NOT(ISERROR(SEARCH("m2",D1769)))</formula>
    </cfRule>
  </conditionalFormatting>
  <conditionalFormatting sqref="D1770:D1771">
    <cfRule type="containsText" dxfId="351" priority="404" operator="containsText" text="m2">
      <formula>NOT(ISERROR(SEARCH("m2",D1770)))</formula>
    </cfRule>
  </conditionalFormatting>
  <conditionalFormatting sqref="D1770:D1771">
    <cfRule type="containsText" dxfId="350" priority="403" operator="containsText" text="m2">
      <formula>NOT(ISERROR(SEARCH("m2",D1770)))</formula>
    </cfRule>
  </conditionalFormatting>
  <conditionalFormatting sqref="D1773:D1774">
    <cfRule type="containsText" dxfId="349" priority="400" operator="containsText" text="m2">
      <formula>NOT(ISERROR(SEARCH("m2",D1773)))</formula>
    </cfRule>
  </conditionalFormatting>
  <conditionalFormatting sqref="D1877">
    <cfRule type="containsText" dxfId="348" priority="394" operator="containsText" text="m2">
      <formula>NOT(ISERROR(SEARCH("m2",D1877)))</formula>
    </cfRule>
  </conditionalFormatting>
  <conditionalFormatting sqref="D1877">
    <cfRule type="containsText" dxfId="347" priority="397" operator="containsText" text="m2">
      <formula>NOT(ISERROR(SEARCH("m2",D1877)))</formula>
    </cfRule>
  </conditionalFormatting>
  <conditionalFormatting sqref="D1878:D1879">
    <cfRule type="containsText" dxfId="346" priority="396" operator="containsText" text="m2">
      <formula>NOT(ISERROR(SEARCH("m2",D1878)))</formula>
    </cfRule>
  </conditionalFormatting>
  <conditionalFormatting sqref="D1878:D1879">
    <cfRule type="containsText" dxfId="345" priority="395" operator="containsText" text="m2">
      <formula>NOT(ISERROR(SEARCH("m2",D1878)))</formula>
    </cfRule>
  </conditionalFormatting>
  <conditionalFormatting sqref="D1880">
    <cfRule type="containsText" dxfId="344" priority="393" operator="containsText" text="m2">
      <formula>NOT(ISERROR(SEARCH("m2",D1880)))</formula>
    </cfRule>
  </conditionalFormatting>
  <conditionalFormatting sqref="D1881:D1882">
    <cfRule type="containsText" dxfId="343" priority="392" operator="containsText" text="m2">
      <formula>NOT(ISERROR(SEARCH("m2",D1881)))</formula>
    </cfRule>
  </conditionalFormatting>
  <conditionalFormatting sqref="D1881:D1882">
    <cfRule type="containsText" dxfId="342" priority="391" operator="containsText" text="m2">
      <formula>NOT(ISERROR(SEARCH("m2",D1881)))</formula>
    </cfRule>
  </conditionalFormatting>
  <conditionalFormatting sqref="D2051:D2052">
    <cfRule type="containsText" dxfId="341" priority="388" operator="containsText" text="m2">
      <formula>NOT(ISERROR(SEARCH("m2",D2051)))</formula>
    </cfRule>
  </conditionalFormatting>
  <conditionalFormatting sqref="D132">
    <cfRule type="containsText" dxfId="340" priority="384" operator="containsText" text="m2">
      <formula>NOT(ISERROR(SEARCH("m2",D132)))</formula>
    </cfRule>
  </conditionalFormatting>
  <conditionalFormatting sqref="D132">
    <cfRule type="containsText" dxfId="339" priority="385" operator="containsText" text="m2">
      <formula>NOT(ISERROR(SEARCH("m2",D132)))</formula>
    </cfRule>
  </conditionalFormatting>
  <conditionalFormatting sqref="D1604">
    <cfRule type="containsText" dxfId="338" priority="382" operator="containsText" text="m2">
      <formula>NOT(ISERROR(SEARCH("m2",D1604)))</formula>
    </cfRule>
  </conditionalFormatting>
  <conditionalFormatting sqref="D1604">
    <cfRule type="containsText" dxfId="337" priority="383" operator="containsText" text="m2">
      <formula>NOT(ISERROR(SEARCH("m2",D1604)))</formula>
    </cfRule>
  </conditionalFormatting>
  <conditionalFormatting sqref="D146:D147">
    <cfRule type="containsText" dxfId="336" priority="380" operator="containsText" text="m2">
      <formula>NOT(ISERROR(SEARCH("m2",D146)))</formula>
    </cfRule>
  </conditionalFormatting>
  <conditionalFormatting sqref="D146:D147">
    <cfRule type="containsText" dxfId="335" priority="381" operator="containsText" text="m2">
      <formula>NOT(ISERROR(SEARCH("m2",D146)))</formula>
    </cfRule>
  </conditionalFormatting>
  <conditionalFormatting sqref="D989">
    <cfRule type="containsText" dxfId="334" priority="379" operator="containsText" text="m2">
      <formula>NOT(ISERROR(SEARCH("m2",D989)))</formula>
    </cfRule>
  </conditionalFormatting>
  <conditionalFormatting sqref="D991:D992 D996">
    <cfRule type="containsText" dxfId="333" priority="378" operator="containsText" text="m2">
      <formula>NOT(ISERROR(SEARCH("m2",D991)))</formula>
    </cfRule>
  </conditionalFormatting>
  <conditionalFormatting sqref="D1241 D1243">
    <cfRule type="containsText" dxfId="332" priority="377" operator="containsText" text="m2">
      <formula>NOT(ISERROR(SEARCH("m2",D1241)))</formula>
    </cfRule>
  </conditionalFormatting>
  <conditionalFormatting sqref="D1242">
    <cfRule type="containsText" dxfId="331" priority="376" operator="containsText" text="m2">
      <formula>NOT(ISERROR(SEARCH("m2",D1242)))</formula>
    </cfRule>
  </conditionalFormatting>
  <conditionalFormatting sqref="D1244">
    <cfRule type="containsText" dxfId="330" priority="375" operator="containsText" text="m2">
      <formula>NOT(ISERROR(SEARCH("m2",D1244)))</formula>
    </cfRule>
  </conditionalFormatting>
  <conditionalFormatting sqref="D1268">
    <cfRule type="containsText" dxfId="329" priority="374" operator="containsText" text="m2">
      <formula>NOT(ISERROR(SEARCH("m2",D1268)))</formula>
    </cfRule>
  </conditionalFormatting>
  <conditionalFormatting sqref="D1269">
    <cfRule type="containsText" dxfId="328" priority="373" operator="containsText" text="m2">
      <formula>NOT(ISERROR(SEARCH("m2",D1269)))</formula>
    </cfRule>
  </conditionalFormatting>
  <conditionalFormatting sqref="D1286">
    <cfRule type="containsText" dxfId="327" priority="372" operator="containsText" text="m2">
      <formula>NOT(ISERROR(SEARCH("m2",D1286)))</formula>
    </cfRule>
  </conditionalFormatting>
  <conditionalFormatting sqref="D1287">
    <cfRule type="containsText" dxfId="326" priority="371" operator="containsText" text="m2">
      <formula>NOT(ISERROR(SEARCH("m2",D1287)))</formula>
    </cfRule>
  </conditionalFormatting>
  <conditionalFormatting sqref="D1623">
    <cfRule type="containsText" dxfId="325" priority="370" operator="containsText" text="m2">
      <formula>NOT(ISERROR(SEARCH("m2",D1623)))</formula>
    </cfRule>
  </conditionalFormatting>
  <conditionalFormatting sqref="D1624:D1625">
    <cfRule type="containsText" dxfId="324" priority="368" operator="containsText" text="m2">
      <formula>NOT(ISERROR(SEARCH("m2",D1624)))</formula>
    </cfRule>
  </conditionalFormatting>
  <conditionalFormatting sqref="D1624:D1625">
    <cfRule type="containsText" dxfId="323" priority="369" operator="containsText" text="m2">
      <formula>NOT(ISERROR(SEARCH("m2",D1624)))</formula>
    </cfRule>
  </conditionalFormatting>
  <conditionalFormatting sqref="D1573">
    <cfRule type="containsText" dxfId="322" priority="367" operator="containsText" text="m2">
      <formula>NOT(ISERROR(SEARCH("m2",D1573)))</formula>
    </cfRule>
  </conditionalFormatting>
  <conditionalFormatting sqref="D1574:D1575">
    <cfRule type="containsText" dxfId="321" priority="365" operator="containsText" text="m2">
      <formula>NOT(ISERROR(SEARCH("m2",D1574)))</formula>
    </cfRule>
  </conditionalFormatting>
  <conditionalFormatting sqref="D1574:D1575">
    <cfRule type="containsText" dxfId="320" priority="366" operator="containsText" text="m2">
      <formula>NOT(ISERROR(SEARCH("m2",D1574)))</formula>
    </cfRule>
  </conditionalFormatting>
  <conditionalFormatting sqref="D1576">
    <cfRule type="containsText" dxfId="319" priority="364" operator="containsText" text="m2">
      <formula>NOT(ISERROR(SEARCH("m2",D1576)))</formula>
    </cfRule>
  </conditionalFormatting>
  <conditionalFormatting sqref="D1577">
    <cfRule type="containsText" dxfId="318" priority="363" operator="containsText" text="m2">
      <formula>NOT(ISERROR(SEARCH("m2",D1577)))</formula>
    </cfRule>
  </conditionalFormatting>
  <conditionalFormatting sqref="D1883">
    <cfRule type="containsText" dxfId="317" priority="362" operator="containsText" text="m2">
      <formula>NOT(ISERROR(SEARCH("m2",D1883)))</formula>
    </cfRule>
  </conditionalFormatting>
  <conditionalFormatting sqref="D1884:D1885">
    <cfRule type="containsText" dxfId="316" priority="360" operator="containsText" text="m2">
      <formula>NOT(ISERROR(SEARCH("m2",D1884)))</formula>
    </cfRule>
  </conditionalFormatting>
  <conditionalFormatting sqref="D1884:D1885">
    <cfRule type="containsText" dxfId="315" priority="361" operator="containsText" text="m2">
      <formula>NOT(ISERROR(SEARCH("m2",D1884)))</formula>
    </cfRule>
  </conditionalFormatting>
  <conditionalFormatting sqref="D1886">
    <cfRule type="containsText" dxfId="314" priority="359" operator="containsText" text="m2">
      <formula>NOT(ISERROR(SEARCH("m2",D1886)))</formula>
    </cfRule>
  </conditionalFormatting>
  <conditionalFormatting sqref="D1887">
    <cfRule type="containsText" dxfId="313" priority="358" operator="containsText" text="m2">
      <formula>NOT(ISERROR(SEARCH("m2",D1887)))</formula>
    </cfRule>
  </conditionalFormatting>
  <conditionalFormatting sqref="D1775">
    <cfRule type="containsText" dxfId="312" priority="357" operator="containsText" text="m2">
      <formula>NOT(ISERROR(SEARCH("m2",D1775)))</formula>
    </cfRule>
  </conditionalFormatting>
  <conditionalFormatting sqref="D1776:D1777">
    <cfRule type="containsText" dxfId="311" priority="355" operator="containsText" text="m2">
      <formula>NOT(ISERROR(SEARCH("m2",D1776)))</formula>
    </cfRule>
  </conditionalFormatting>
  <conditionalFormatting sqref="D1776:D1777">
    <cfRule type="containsText" dxfId="310" priority="356" operator="containsText" text="m2">
      <formula>NOT(ISERROR(SEARCH("m2",D1776)))</formula>
    </cfRule>
  </conditionalFormatting>
  <conditionalFormatting sqref="D1778">
    <cfRule type="containsText" dxfId="309" priority="354" operator="containsText" text="m2">
      <formula>NOT(ISERROR(SEARCH("m2",D1778)))</formula>
    </cfRule>
  </conditionalFormatting>
  <conditionalFormatting sqref="D1779">
    <cfRule type="containsText" dxfId="308" priority="353" operator="containsText" text="m2">
      <formula>NOT(ISERROR(SEARCH("m2",D1779)))</formula>
    </cfRule>
  </conditionalFormatting>
  <conditionalFormatting sqref="D1626">
    <cfRule type="containsText" dxfId="307" priority="352" operator="containsText" text="m2">
      <formula>NOT(ISERROR(SEARCH("m2",D1626)))</formula>
    </cfRule>
  </conditionalFormatting>
  <conditionalFormatting sqref="D1626">
    <cfRule type="containsText" dxfId="306" priority="351" operator="containsText" text="m2">
      <formula>NOT(ISERROR(SEARCH("m2",D1626)))</formula>
    </cfRule>
  </conditionalFormatting>
  <conditionalFormatting sqref="D1627:D1628">
    <cfRule type="containsText" dxfId="305" priority="349" operator="containsText" text="m2">
      <formula>NOT(ISERROR(SEARCH("m2",D1627)))</formula>
    </cfRule>
  </conditionalFormatting>
  <conditionalFormatting sqref="D1627:D1628">
    <cfRule type="containsText" dxfId="304" priority="350" operator="containsText" text="m2">
      <formula>NOT(ISERROR(SEARCH("m2",D1627)))</formula>
    </cfRule>
  </conditionalFormatting>
  <conditionalFormatting sqref="D148">
    <cfRule type="containsText" dxfId="303" priority="348" operator="containsText" text="m2">
      <formula>NOT(ISERROR(SEARCH("m2",D148)))</formula>
    </cfRule>
  </conditionalFormatting>
  <conditionalFormatting sqref="D148">
    <cfRule type="containsText" dxfId="302" priority="347" operator="containsText" text="m2">
      <formula>NOT(ISERROR(SEARCH("m2",D148)))</formula>
    </cfRule>
  </conditionalFormatting>
  <conditionalFormatting sqref="D149:D150">
    <cfRule type="containsText" dxfId="301" priority="345" operator="containsText" text="m2">
      <formula>NOT(ISERROR(SEARCH("m2",D149)))</formula>
    </cfRule>
  </conditionalFormatting>
  <conditionalFormatting sqref="D149:D150">
    <cfRule type="containsText" dxfId="300" priority="346" operator="containsText" text="m2">
      <formula>NOT(ISERROR(SEARCH("m2",D149)))</formula>
    </cfRule>
  </conditionalFormatting>
  <conditionalFormatting sqref="D993">
    <cfRule type="containsText" dxfId="299" priority="344" operator="containsText" text="m2">
      <formula>NOT(ISERROR(SEARCH("m2",D993)))</formula>
    </cfRule>
  </conditionalFormatting>
  <conditionalFormatting sqref="D994:D995">
    <cfRule type="containsText" dxfId="298" priority="343" operator="containsText" text="m2">
      <formula>NOT(ISERROR(SEARCH("m2",D994)))</formula>
    </cfRule>
  </conditionalFormatting>
  <conditionalFormatting sqref="D2053">
    <cfRule type="containsText" dxfId="297" priority="342" operator="containsText" text="m2">
      <formula>NOT(ISERROR(SEARCH("m2",D2053)))</formula>
    </cfRule>
  </conditionalFormatting>
  <conditionalFormatting sqref="D2054:D2055">
    <cfRule type="containsText" dxfId="296" priority="340" operator="containsText" text="m2">
      <formula>NOT(ISERROR(SEARCH("m2",D2054)))</formula>
    </cfRule>
  </conditionalFormatting>
  <conditionalFormatting sqref="D2054:D2055">
    <cfRule type="containsText" dxfId="295" priority="341" operator="containsText" text="m2">
      <formula>NOT(ISERROR(SEARCH("m2",D2054)))</formula>
    </cfRule>
  </conditionalFormatting>
  <conditionalFormatting sqref="D1888">
    <cfRule type="containsText" dxfId="294" priority="339" operator="containsText" text="m2">
      <formula>NOT(ISERROR(SEARCH("m2",D1888)))</formula>
    </cfRule>
  </conditionalFormatting>
  <conditionalFormatting sqref="D1889:D1890">
    <cfRule type="containsText" dxfId="293" priority="337" operator="containsText" text="m2">
      <formula>NOT(ISERROR(SEARCH("m2",D1889)))</formula>
    </cfRule>
  </conditionalFormatting>
  <conditionalFormatting sqref="D1889:D1890">
    <cfRule type="containsText" dxfId="292" priority="338" operator="containsText" text="m2">
      <formula>NOT(ISERROR(SEARCH("m2",D1889)))</formula>
    </cfRule>
  </conditionalFormatting>
  <conditionalFormatting sqref="D1780">
    <cfRule type="containsText" dxfId="291" priority="336" operator="containsText" text="m2">
      <formula>NOT(ISERROR(SEARCH("m2",D1780)))</formula>
    </cfRule>
  </conditionalFormatting>
  <conditionalFormatting sqref="D1781:D1782 D1836:D1857">
    <cfRule type="containsText" dxfId="290" priority="334" operator="containsText" text="m2">
      <formula>NOT(ISERROR(SEARCH("m2",D1781)))</formula>
    </cfRule>
  </conditionalFormatting>
  <conditionalFormatting sqref="D1781:D1782 D1836:D1857">
    <cfRule type="containsText" dxfId="289" priority="335" operator="containsText" text="m2">
      <formula>NOT(ISERROR(SEARCH("m2",D1781)))</formula>
    </cfRule>
  </conditionalFormatting>
  <conditionalFormatting sqref="D1288">
    <cfRule type="containsText" dxfId="288" priority="333" operator="containsText" text="m2">
      <formula>NOT(ISERROR(SEARCH("m2",D1288)))</formula>
    </cfRule>
  </conditionalFormatting>
  <conditionalFormatting sqref="D1270">
    <cfRule type="containsText" dxfId="287" priority="332" operator="containsText" text="m2">
      <formula>NOT(ISERROR(SEARCH("m2",D1270)))</formula>
    </cfRule>
  </conditionalFormatting>
  <conditionalFormatting sqref="D1630:D1631">
    <cfRule type="containsText" dxfId="286" priority="330" operator="containsText" text="m2">
      <formula>NOT(ISERROR(SEARCH("m2",D1630)))</formula>
    </cfRule>
  </conditionalFormatting>
  <conditionalFormatting sqref="D1630:D1631">
    <cfRule type="containsText" dxfId="285" priority="331" operator="containsText" text="m2">
      <formula>NOT(ISERROR(SEARCH("m2",D1630)))</formula>
    </cfRule>
  </conditionalFormatting>
  <conditionalFormatting sqref="D151:D153">
    <cfRule type="containsText" dxfId="284" priority="329" operator="containsText" text="m2">
      <formula>NOT(ISERROR(SEARCH("m2",D151)))</formula>
    </cfRule>
  </conditionalFormatting>
  <conditionalFormatting sqref="D151">
    <cfRule type="containsText" dxfId="283" priority="328" operator="containsText" text="m2">
      <formula>NOT(ISERROR(SEARCH("m2",D151)))</formula>
    </cfRule>
  </conditionalFormatting>
  <conditionalFormatting sqref="D152:D153">
    <cfRule type="containsText" dxfId="282" priority="326" operator="containsText" text="m2">
      <formula>NOT(ISERROR(SEARCH("m2",D152)))</formula>
    </cfRule>
  </conditionalFormatting>
  <conditionalFormatting sqref="D152:D153">
    <cfRule type="containsText" dxfId="281" priority="327" operator="containsText" text="m2">
      <formula>NOT(ISERROR(SEARCH("m2",D152)))</formula>
    </cfRule>
  </conditionalFormatting>
  <conditionalFormatting sqref="D997:D998">
    <cfRule type="containsText" dxfId="280" priority="325" operator="containsText" text="m2">
      <formula>NOT(ISERROR(SEARCH("m2",D997)))</formula>
    </cfRule>
  </conditionalFormatting>
  <conditionalFormatting sqref="D999">
    <cfRule type="containsText" dxfId="279" priority="324" operator="containsText" text="m2">
      <formula>NOT(ISERROR(SEARCH("m2",D999)))</formula>
    </cfRule>
  </conditionalFormatting>
  <conditionalFormatting sqref="D1000:D1002 D1008:D1009">
    <cfRule type="containsText" dxfId="278" priority="323" operator="containsText" text="m2">
      <formula>NOT(ISERROR(SEARCH("m2",D1000)))</formula>
    </cfRule>
  </conditionalFormatting>
  <conditionalFormatting sqref="D1578">
    <cfRule type="containsText" dxfId="277" priority="322" operator="containsText" text="m2">
      <formula>NOT(ISERROR(SEARCH("m2",D1578)))</formula>
    </cfRule>
  </conditionalFormatting>
  <conditionalFormatting sqref="D1579:D1580">
    <cfRule type="containsText" dxfId="276" priority="321" operator="containsText" text="m2">
      <formula>NOT(ISERROR(SEARCH("m2",D1579)))</formula>
    </cfRule>
  </conditionalFormatting>
  <conditionalFormatting sqref="D1783">
    <cfRule type="containsText" dxfId="275" priority="320" operator="containsText" text="m2">
      <formula>NOT(ISERROR(SEARCH("m2",D1783)))</formula>
    </cfRule>
  </conditionalFormatting>
  <conditionalFormatting sqref="D1784:D1785">
    <cfRule type="containsText" dxfId="274" priority="319" operator="containsText" text="m2">
      <formula>NOT(ISERROR(SEARCH("m2",D1784)))</formula>
    </cfRule>
  </conditionalFormatting>
  <conditionalFormatting sqref="D1891">
    <cfRule type="containsText" dxfId="273" priority="318" operator="containsText" text="m2">
      <formula>NOT(ISERROR(SEARCH("m2",D1891)))</formula>
    </cfRule>
  </conditionalFormatting>
  <conditionalFormatting sqref="D1892:D1893">
    <cfRule type="containsText" dxfId="272" priority="317" operator="containsText" text="m2">
      <formula>NOT(ISERROR(SEARCH("m2",D1892)))</formula>
    </cfRule>
  </conditionalFormatting>
  <conditionalFormatting sqref="D2056">
    <cfRule type="containsText" dxfId="271" priority="316" operator="containsText" text="m2">
      <formula>NOT(ISERROR(SEARCH("m2",D2056)))</formula>
    </cfRule>
  </conditionalFormatting>
  <conditionalFormatting sqref="D2057:D2058">
    <cfRule type="containsText" dxfId="270" priority="314" operator="containsText" text="m2">
      <formula>NOT(ISERROR(SEARCH("m2",D2057)))</formula>
    </cfRule>
  </conditionalFormatting>
  <conditionalFormatting sqref="D2057:D2058">
    <cfRule type="containsText" dxfId="269" priority="315" operator="containsText" text="m2">
      <formula>NOT(ISERROR(SEARCH("m2",D2057)))</formula>
    </cfRule>
  </conditionalFormatting>
  <conditionalFormatting sqref="D1894">
    <cfRule type="containsText" dxfId="268" priority="313" operator="containsText" text="m2">
      <formula>NOT(ISERROR(SEARCH("m2",D1894)))</formula>
    </cfRule>
  </conditionalFormatting>
  <conditionalFormatting sqref="D1895:D1896">
    <cfRule type="containsText" dxfId="267" priority="311" operator="containsText" text="m2">
      <formula>NOT(ISERROR(SEARCH("m2",D1895)))</formula>
    </cfRule>
  </conditionalFormatting>
  <conditionalFormatting sqref="D1895:D1896">
    <cfRule type="containsText" dxfId="266" priority="312" operator="containsText" text="m2">
      <formula>NOT(ISERROR(SEARCH("m2",D1895)))</formula>
    </cfRule>
  </conditionalFormatting>
  <conditionalFormatting sqref="D1787:D1788">
    <cfRule type="containsText" dxfId="265" priority="307" operator="containsText" text="m2">
      <formula>NOT(ISERROR(SEARCH("m2",D1787)))</formula>
    </cfRule>
  </conditionalFormatting>
  <conditionalFormatting sqref="D1787:D1788">
    <cfRule type="containsText" dxfId="264" priority="306" operator="containsText" text="m2">
      <formula>NOT(ISERROR(SEARCH("m2",D1787)))</formula>
    </cfRule>
  </conditionalFormatting>
  <conditionalFormatting sqref="D1786">
    <cfRule type="containsText" dxfId="263" priority="308" operator="containsText" text="m2">
      <formula>NOT(ISERROR(SEARCH("m2",D1786)))</formula>
    </cfRule>
  </conditionalFormatting>
  <conditionalFormatting sqref="D1289">
    <cfRule type="containsText" dxfId="262" priority="304" operator="containsText" text="m2">
      <formula>NOT(ISERROR(SEARCH("m2",D1289)))</formula>
    </cfRule>
  </conditionalFormatting>
  <conditionalFormatting sqref="D1271">
    <cfRule type="containsText" dxfId="261" priority="305" operator="containsText" text="m2">
      <formula>NOT(ISERROR(SEARCH("m2",D1271)))</formula>
    </cfRule>
  </conditionalFormatting>
  <conditionalFormatting sqref="D155:D156">
    <cfRule type="containsText" dxfId="260" priority="298" operator="containsText" text="m2">
      <formula>NOT(ISERROR(SEARCH("m2",D155)))</formula>
    </cfRule>
  </conditionalFormatting>
  <conditionalFormatting sqref="D1006:D1007">
    <cfRule type="containsText" dxfId="259" priority="293" operator="containsText" text="m2">
      <formula>NOT(ISERROR(SEARCH("m2",D1006)))</formula>
    </cfRule>
  </conditionalFormatting>
  <conditionalFormatting sqref="D1636:D1637">
    <cfRule type="containsText" dxfId="258" priority="288" operator="containsText" text="m2">
      <formula>NOT(ISERROR(SEARCH("m2",D1636)))</formula>
    </cfRule>
  </conditionalFormatting>
  <conditionalFormatting sqref="D155:D156">
    <cfRule type="containsText" dxfId="257" priority="299" operator="containsText" text="m2">
      <formula>NOT(ISERROR(SEARCH("m2",D155)))</formula>
    </cfRule>
  </conditionalFormatting>
  <conditionalFormatting sqref="D1582:D1583">
    <cfRule type="containsText" dxfId="256" priority="285" operator="containsText" text="m2">
      <formula>NOT(ISERROR(SEARCH("m2",D1582)))</formula>
    </cfRule>
  </conditionalFormatting>
  <conditionalFormatting sqref="D1633:D1634">
    <cfRule type="containsText" dxfId="255" priority="303" operator="containsText" text="m2">
      <formula>NOT(ISERROR(SEARCH("m2",D1633)))</formula>
    </cfRule>
  </conditionalFormatting>
  <conditionalFormatting sqref="D1633:D1634">
    <cfRule type="containsText" dxfId="254" priority="301" operator="containsText" text="m2">
      <formula>NOT(ISERROR(SEARCH("m2",D1633)))</formula>
    </cfRule>
  </conditionalFormatting>
  <conditionalFormatting sqref="D1633:D1634">
    <cfRule type="containsText" dxfId="253" priority="302" operator="containsText" text="m2">
      <formula>NOT(ISERROR(SEARCH("m2",D1633)))</formula>
    </cfRule>
  </conditionalFormatting>
  <conditionalFormatting sqref="D154">
    <cfRule type="containsText" dxfId="252" priority="300" operator="containsText" text="m2">
      <formula>NOT(ISERROR(SEARCH("m2",D154)))</formula>
    </cfRule>
  </conditionalFormatting>
  <conditionalFormatting sqref="D155:D156">
    <cfRule type="containsText" dxfId="251" priority="297" operator="containsText" text="m2">
      <formula>NOT(ISERROR(SEARCH("m2",D155)))</formula>
    </cfRule>
  </conditionalFormatting>
  <conditionalFormatting sqref="D1003:D1004">
    <cfRule type="containsText" dxfId="250" priority="296" operator="containsText" text="m2">
      <formula>NOT(ISERROR(SEARCH("m2",D1003)))</formula>
    </cfRule>
  </conditionalFormatting>
  <conditionalFormatting sqref="D1005">
    <cfRule type="containsText" dxfId="249" priority="295" operator="containsText" text="m2">
      <formula>NOT(ISERROR(SEARCH("m2",D1005)))</formula>
    </cfRule>
  </conditionalFormatting>
  <conditionalFormatting sqref="D1793:D1794">
    <cfRule type="containsText" dxfId="248" priority="283" operator="containsText" text="m2">
      <formula>NOT(ISERROR(SEARCH("m2",D1793)))</formula>
    </cfRule>
  </conditionalFormatting>
  <conditionalFormatting sqref="D2060:D2061">
    <cfRule type="containsText" dxfId="247" priority="277" operator="containsText" text="m2">
      <formula>NOT(ISERROR(SEARCH("m2",D2060)))</formula>
    </cfRule>
  </conditionalFormatting>
  <conditionalFormatting sqref="D158:D159">
    <cfRule type="containsText" dxfId="246" priority="292" operator="containsText" text="m2">
      <formula>NOT(ISERROR(SEARCH("m2",D158)))</formula>
    </cfRule>
  </conditionalFormatting>
  <conditionalFormatting sqref="D158:D159">
    <cfRule type="containsText" dxfId="245" priority="290" operator="containsText" text="m2">
      <formula>NOT(ISERROR(SEARCH("m2",D158)))</formula>
    </cfRule>
  </conditionalFormatting>
  <conditionalFormatting sqref="D158:D159">
    <cfRule type="containsText" dxfId="244" priority="291" operator="containsText" text="m2">
      <formula>NOT(ISERROR(SEARCH("m2",D158)))</formula>
    </cfRule>
  </conditionalFormatting>
  <conditionalFormatting sqref="D1635">
    <cfRule type="containsText" dxfId="243" priority="289" operator="containsText" text="m2">
      <formula>NOT(ISERROR(SEARCH("m2",D1635)))</formula>
    </cfRule>
  </conditionalFormatting>
  <conditionalFormatting sqref="D1790:D1791">
    <cfRule type="containsText" dxfId="242" priority="286" operator="containsText" text="m2">
      <formula>NOT(ISERROR(SEARCH("m2",D1790)))</formula>
    </cfRule>
  </conditionalFormatting>
  <conditionalFormatting sqref="D1789">
    <cfRule type="containsText" dxfId="241" priority="287" operator="containsText" text="m2">
      <formula>NOT(ISERROR(SEARCH("m2",D1789)))</formula>
    </cfRule>
  </conditionalFormatting>
  <conditionalFormatting sqref="D1792">
    <cfRule type="containsText" dxfId="240" priority="284" operator="containsText" text="m2">
      <formula>NOT(ISERROR(SEARCH("m2",D1792)))</formula>
    </cfRule>
  </conditionalFormatting>
  <conditionalFormatting sqref="D1901:D1902">
    <cfRule type="containsText" dxfId="239" priority="279" operator="containsText" text="m2">
      <formula>NOT(ISERROR(SEARCH("m2",D1901)))</formula>
    </cfRule>
  </conditionalFormatting>
  <conditionalFormatting sqref="D1898:D1899">
    <cfRule type="containsText" dxfId="238" priority="281" operator="containsText" text="m2">
      <formula>NOT(ISERROR(SEARCH("m2",D1898)))</formula>
    </cfRule>
  </conditionalFormatting>
  <conditionalFormatting sqref="D1897">
    <cfRule type="containsText" dxfId="237" priority="282" operator="containsText" text="m2">
      <formula>NOT(ISERROR(SEARCH("m2",D1897)))</formula>
    </cfRule>
  </conditionalFormatting>
  <conditionalFormatting sqref="D1900">
    <cfRule type="containsText" dxfId="236" priority="280" operator="containsText" text="m2">
      <formula>NOT(ISERROR(SEARCH("m2",D1900)))</formula>
    </cfRule>
  </conditionalFormatting>
  <conditionalFormatting sqref="D2059">
    <cfRule type="containsText" dxfId="235" priority="278" operator="containsText" text="m2">
      <formula>NOT(ISERROR(SEARCH("m2",D2059)))</formula>
    </cfRule>
  </conditionalFormatting>
  <conditionalFormatting sqref="D954">
    <cfRule type="containsText" dxfId="234" priority="276" operator="containsText" text="m2">
      <formula>NOT(ISERROR(SEARCH("m2",D954)))</formula>
    </cfRule>
  </conditionalFormatting>
  <conditionalFormatting sqref="D955">
    <cfRule type="containsText" dxfId="233" priority="275" operator="containsText" text="m2">
      <formula>NOT(ISERROR(SEARCH("m2",D955)))</formula>
    </cfRule>
  </conditionalFormatting>
  <conditionalFormatting sqref="D957">
    <cfRule type="containsText" dxfId="232" priority="274" operator="containsText" text="m2">
      <formula>NOT(ISERROR(SEARCH("m2",D957)))</formula>
    </cfRule>
  </conditionalFormatting>
  <conditionalFormatting sqref="D1805">
    <cfRule type="containsText" dxfId="231" priority="273" operator="containsText" text="m2">
      <formula>NOT(ISERROR(SEARCH("m2",D1805)))</formula>
    </cfRule>
  </conditionalFormatting>
  <conditionalFormatting sqref="D1795:D1802">
    <cfRule type="containsText" dxfId="230" priority="272" operator="containsText" text="m2">
      <formula>NOT(ISERROR(SEARCH("m2",D1795)))</formula>
    </cfRule>
  </conditionalFormatting>
  <conditionalFormatting sqref="D1803">
    <cfRule type="containsText" dxfId="229" priority="271" operator="containsText" text="m2">
      <formula>NOT(ISERROR(SEARCH("m2",D1803)))</formula>
    </cfRule>
  </conditionalFormatting>
  <conditionalFormatting sqref="D1804">
    <cfRule type="containsText" dxfId="228" priority="270" operator="containsText" text="m2">
      <formula>NOT(ISERROR(SEARCH("m2",D1804)))</formula>
    </cfRule>
  </conditionalFormatting>
  <conditionalFormatting sqref="D1806">
    <cfRule type="containsText" dxfId="227" priority="269" operator="containsText" text="m2">
      <formula>NOT(ISERROR(SEARCH("m2",D1806)))</formula>
    </cfRule>
  </conditionalFormatting>
  <conditionalFormatting sqref="D2070">
    <cfRule type="containsText" dxfId="226" priority="257" operator="containsText" text="m2">
      <formula>NOT(ISERROR(SEARCH("m2",D2070)))</formula>
    </cfRule>
  </conditionalFormatting>
  <conditionalFormatting sqref="D2062:D2069">
    <cfRule type="containsText" dxfId="225" priority="258" operator="containsText" text="m2">
      <formula>NOT(ISERROR(SEARCH("m2",D2062)))</formula>
    </cfRule>
  </conditionalFormatting>
  <conditionalFormatting sqref="D1913">
    <cfRule type="containsText" dxfId="224" priority="266" operator="containsText" text="m2">
      <formula>NOT(ISERROR(SEARCH("m2",D1913)))</formula>
    </cfRule>
  </conditionalFormatting>
  <conditionalFormatting sqref="D1903:D1910">
    <cfRule type="containsText" dxfId="223" priority="265" operator="containsText" text="m2">
      <formula>NOT(ISERROR(SEARCH("m2",D1903)))</formula>
    </cfRule>
  </conditionalFormatting>
  <conditionalFormatting sqref="D1911">
    <cfRule type="containsText" dxfId="222" priority="264" operator="containsText" text="m2">
      <formula>NOT(ISERROR(SEARCH("m2",D1911)))</formula>
    </cfRule>
  </conditionalFormatting>
  <conditionalFormatting sqref="D1912">
    <cfRule type="containsText" dxfId="221" priority="263" operator="containsText" text="m2">
      <formula>NOT(ISERROR(SEARCH("m2",D1912)))</formula>
    </cfRule>
  </conditionalFormatting>
  <conditionalFormatting sqref="D1914">
    <cfRule type="containsText" dxfId="220" priority="262" operator="containsText" text="m2">
      <formula>NOT(ISERROR(SEARCH("m2",D1914)))</formula>
    </cfRule>
  </conditionalFormatting>
  <conditionalFormatting sqref="D2072">
    <cfRule type="containsText" dxfId="219" priority="259" operator="containsText" text="m2">
      <formula>NOT(ISERROR(SEARCH("m2",D2072)))</formula>
    </cfRule>
  </conditionalFormatting>
  <conditionalFormatting sqref="D1010">
    <cfRule type="containsText" dxfId="218" priority="254" operator="containsText" text="m2">
      <formula>NOT(ISERROR(SEARCH("m2",D1010)))</formula>
    </cfRule>
  </conditionalFormatting>
  <conditionalFormatting sqref="D2074:D2075">
    <cfRule type="containsText" dxfId="217" priority="253" operator="containsText" text="m2">
      <formula>NOT(ISERROR(SEARCH("m2",D2074)))</formula>
    </cfRule>
  </conditionalFormatting>
  <conditionalFormatting sqref="D2071">
    <cfRule type="containsText" dxfId="216" priority="256" operator="containsText" text="m2">
      <formula>NOT(ISERROR(SEARCH("m2",D2071)))</formula>
    </cfRule>
  </conditionalFormatting>
  <conditionalFormatting sqref="D2073">
    <cfRule type="containsText" dxfId="215" priority="255" operator="containsText" text="m2">
      <formula>NOT(ISERROR(SEARCH("m2",D2073)))</formula>
    </cfRule>
  </conditionalFormatting>
  <conditionalFormatting sqref="D1921">
    <cfRule type="containsText" dxfId="214" priority="229" operator="containsText" text="m2">
      <formula>NOT(ISERROR(SEARCH("m2",D1921)))</formula>
    </cfRule>
  </conditionalFormatting>
  <conditionalFormatting sqref="D160:D161">
    <cfRule type="containsText" dxfId="213" priority="247" operator="containsText" text="m2">
      <formula>NOT(ISERROR(SEARCH("m2",D160)))</formula>
    </cfRule>
  </conditionalFormatting>
  <conditionalFormatting sqref="D2076">
    <cfRule type="containsText" dxfId="212" priority="252" operator="containsText" text="m2">
      <formula>NOT(ISERROR(SEARCH("m2",D2076)))</formula>
    </cfRule>
  </conditionalFormatting>
  <conditionalFormatting sqref="D1915:D1916">
    <cfRule type="containsText" dxfId="211" priority="251" operator="containsText" text="m2">
      <formula>NOT(ISERROR(SEARCH("m2",D1915)))</formula>
    </cfRule>
  </conditionalFormatting>
  <conditionalFormatting sqref="D1917">
    <cfRule type="containsText" dxfId="210" priority="250" operator="containsText" text="m2">
      <formula>NOT(ISERROR(SEARCH("m2",D1917)))</formula>
    </cfRule>
  </conditionalFormatting>
  <conditionalFormatting sqref="D1638:D1639">
    <cfRule type="containsText" dxfId="209" priority="245" operator="containsText" text="m2">
      <formula>NOT(ISERROR(SEARCH("m2",D1638)))</formula>
    </cfRule>
  </conditionalFormatting>
  <conditionalFormatting sqref="D1640">
    <cfRule type="containsText" dxfId="208" priority="244" operator="containsText" text="m2">
      <formula>NOT(ISERROR(SEARCH("m2",D1640)))</formula>
    </cfRule>
  </conditionalFormatting>
  <conditionalFormatting sqref="D162">
    <cfRule type="containsText" dxfId="207" priority="246" operator="containsText" text="m2">
      <formula>NOT(ISERROR(SEARCH("m2",D162)))</formula>
    </cfRule>
  </conditionalFormatting>
  <conditionalFormatting sqref="D2109">
    <cfRule type="containsText" dxfId="206" priority="242" operator="containsText" text="m2">
      <formula>NOT(ISERROR(SEARCH("m2",D2109)))</formula>
    </cfRule>
  </conditionalFormatting>
  <conditionalFormatting sqref="D1918 D1922 D1926">
    <cfRule type="containsText" dxfId="205" priority="231" operator="containsText" text="m2">
      <formula>NOT(ISERROR(SEARCH("m2",D1918)))</formula>
    </cfRule>
  </conditionalFormatting>
  <conditionalFormatting sqref="D1648">
    <cfRule type="containsText" dxfId="204" priority="234" operator="containsText" text="m2">
      <formula>NOT(ISERROR(SEARCH("m2",D1648)))</formula>
    </cfRule>
  </conditionalFormatting>
  <conditionalFormatting sqref="D1650">
    <cfRule type="containsText" dxfId="203" priority="233" operator="containsText" text="m2">
      <formula>NOT(ISERROR(SEARCH("m2",D1650)))</formula>
    </cfRule>
  </conditionalFormatting>
  <conditionalFormatting sqref="D1651">
    <cfRule type="containsText" dxfId="202" priority="232" operator="containsText" text="m2">
      <formula>NOT(ISERROR(SEARCH("m2",D1651)))</formula>
    </cfRule>
  </conditionalFormatting>
  <conditionalFormatting sqref="D1928">
    <cfRule type="containsText" dxfId="201" priority="225" operator="containsText" text="m2">
      <formula>NOT(ISERROR(SEARCH("m2",D1928)))</formula>
    </cfRule>
  </conditionalFormatting>
  <conditionalFormatting sqref="D1642:D1643">
    <cfRule type="containsText" dxfId="200" priority="237" operator="containsText" text="m2">
      <formula>NOT(ISERROR(SEARCH("m2",D1642)))</formula>
    </cfRule>
  </conditionalFormatting>
  <conditionalFormatting sqref="D1644">
    <cfRule type="containsText" dxfId="199" priority="236" operator="containsText" text="m2">
      <formula>NOT(ISERROR(SEARCH("m2",D1644)))</formula>
    </cfRule>
  </conditionalFormatting>
  <conditionalFormatting sqref="D1646:D1647">
    <cfRule type="containsText" dxfId="198" priority="235" operator="containsText" text="m2">
      <formula>NOT(ISERROR(SEARCH("m2",D1646)))</formula>
    </cfRule>
  </conditionalFormatting>
  <conditionalFormatting sqref="D1652 D1655 D1658">
    <cfRule type="containsText" dxfId="197" priority="224" operator="containsText" text="m2">
      <formula>NOT(ISERROR(SEARCH("m2",D1652)))</formula>
    </cfRule>
  </conditionalFormatting>
  <conditionalFormatting sqref="D1923:D1924">
    <cfRule type="containsText" dxfId="196" priority="228" operator="containsText" text="m2">
      <formula>NOT(ISERROR(SEARCH("m2",D1923)))</formula>
    </cfRule>
  </conditionalFormatting>
  <conditionalFormatting sqref="D1653:D1654">
    <cfRule type="containsText" dxfId="195" priority="223" operator="containsText" text="m2">
      <formula>NOT(ISERROR(SEARCH("m2",D1653)))</formula>
    </cfRule>
  </conditionalFormatting>
  <conditionalFormatting sqref="D176">
    <cfRule type="containsText" dxfId="194" priority="204" operator="containsText" text="m2">
      <formula>NOT(ISERROR(SEARCH("m2",D176)))</formula>
    </cfRule>
  </conditionalFormatting>
  <conditionalFormatting sqref="D1660">
    <cfRule type="containsText" dxfId="193" priority="218" operator="containsText" text="m2">
      <formula>NOT(ISERROR(SEARCH("m2",D1660)))</formula>
    </cfRule>
  </conditionalFormatting>
  <conditionalFormatting sqref="D1919:D1920">
    <cfRule type="containsText" dxfId="192" priority="230" operator="containsText" text="m2">
      <formula>NOT(ISERROR(SEARCH("m2",D1919)))</formula>
    </cfRule>
  </conditionalFormatting>
  <conditionalFormatting sqref="D1659">
    <cfRule type="containsText" dxfId="191" priority="219" operator="containsText" text="m2">
      <formula>NOT(ISERROR(SEARCH("m2",D1659)))</formula>
    </cfRule>
  </conditionalFormatting>
  <conditionalFormatting sqref="D1011 D1015 D1019 D1031 D1034">
    <cfRule type="containsText" dxfId="190" priority="202" operator="containsText" text="m2">
      <formula>NOT(ISERROR(SEARCH("m2",D1011)))</formula>
    </cfRule>
  </conditionalFormatting>
  <conditionalFormatting sqref="D1925">
    <cfRule type="containsText" dxfId="189" priority="227" operator="containsText" text="m2">
      <formula>NOT(ISERROR(SEARCH("m2",D1925)))</formula>
    </cfRule>
  </conditionalFormatting>
  <conditionalFormatting sqref="D1927">
    <cfRule type="containsText" dxfId="188" priority="226" operator="containsText" text="m2">
      <formula>NOT(ISERROR(SEARCH("m2",D1927)))</formula>
    </cfRule>
  </conditionalFormatting>
  <conditionalFormatting sqref="D177">
    <cfRule type="containsText" dxfId="187" priority="203" operator="containsText" text="m2">
      <formula>NOT(ISERROR(SEARCH("m2",D177)))</formula>
    </cfRule>
  </conditionalFormatting>
  <conditionalFormatting sqref="D1663">
    <cfRule type="containsText" dxfId="186" priority="216" operator="containsText" text="m2">
      <formula>NOT(ISERROR(SEARCH("m2",D1663)))</formula>
    </cfRule>
  </conditionalFormatting>
  <conditionalFormatting sqref="D164:D165">
    <cfRule type="containsText" dxfId="185" priority="210" operator="containsText" text="m2">
      <formula>NOT(ISERROR(SEARCH("m2",D164)))</formula>
    </cfRule>
  </conditionalFormatting>
  <conditionalFormatting sqref="D1662">
    <cfRule type="containsText" dxfId="184" priority="217" operator="containsText" text="m2">
      <formula>NOT(ISERROR(SEARCH("m2",D1662)))</formula>
    </cfRule>
  </conditionalFormatting>
  <conditionalFormatting sqref="D1656:D1657">
    <cfRule type="containsText" dxfId="183" priority="221" operator="containsText" text="m2">
      <formula>NOT(ISERROR(SEARCH("m2",D1656)))</formula>
    </cfRule>
  </conditionalFormatting>
  <conditionalFormatting sqref="D174">
    <cfRule type="containsText" dxfId="182" priority="205" operator="containsText" text="m2">
      <formula>NOT(ISERROR(SEARCH("m2",D174)))</formula>
    </cfRule>
  </conditionalFormatting>
  <conditionalFormatting sqref="D167:D168">
    <cfRule type="containsText" dxfId="181" priority="209" operator="containsText" text="m2">
      <formula>NOT(ISERROR(SEARCH("m2",D167)))</formula>
    </cfRule>
  </conditionalFormatting>
  <conditionalFormatting sqref="D1666">
    <cfRule type="containsText" dxfId="180" priority="213" operator="containsText" text="m2">
      <formula>NOT(ISERROR(SEARCH("m2",D1666)))</formula>
    </cfRule>
  </conditionalFormatting>
  <conditionalFormatting sqref="D171">
    <cfRule type="containsText" dxfId="179" priority="207" operator="containsText" text="m2">
      <formula>NOT(ISERROR(SEARCH("m2",D171)))</formula>
    </cfRule>
  </conditionalFormatting>
  <conditionalFormatting sqref="D1665">
    <cfRule type="containsText" dxfId="178" priority="214" operator="containsText" text="m2">
      <formula>NOT(ISERROR(SEARCH("m2",D1665)))</formula>
    </cfRule>
  </conditionalFormatting>
  <conditionalFormatting sqref="D1033">
    <cfRule type="containsText" dxfId="177" priority="189" operator="containsText" text="m2">
      <formula>NOT(ISERROR(SEARCH("m2",D1033)))</formula>
    </cfRule>
  </conditionalFormatting>
  <conditionalFormatting sqref="D1940">
    <cfRule type="containsText" dxfId="176" priority="162" operator="containsText" text="m2">
      <formula>NOT(ISERROR(SEARCH("m2",D1940)))</formula>
    </cfRule>
  </conditionalFormatting>
  <conditionalFormatting sqref="D172 D175">
    <cfRule type="containsText" dxfId="175" priority="212" operator="containsText" text="m2">
      <formula>NOT(ISERROR(SEARCH("m2",D172)))</formula>
    </cfRule>
  </conditionalFormatting>
  <conditionalFormatting sqref="D1023:D1024">
    <cfRule type="containsText" dxfId="174" priority="194" operator="containsText" text="m2">
      <formula>NOT(ISERROR(SEARCH("m2",D1023)))</formula>
    </cfRule>
  </conditionalFormatting>
  <conditionalFormatting sqref="D163 D166 D169">
    <cfRule type="containsText" dxfId="173" priority="211" operator="containsText" text="m2">
      <formula>NOT(ISERROR(SEARCH("m2",D163)))</formula>
    </cfRule>
  </conditionalFormatting>
  <conditionalFormatting sqref="D1030">
    <cfRule type="containsText" dxfId="172" priority="191" operator="containsText" text="m2">
      <formula>NOT(ISERROR(SEARCH("m2",D1030)))</formula>
    </cfRule>
  </conditionalFormatting>
  <conditionalFormatting sqref="D170">
    <cfRule type="containsText" dxfId="171" priority="208" operator="containsText" text="m2">
      <formula>NOT(ISERROR(SEARCH("m2",D170)))</formula>
    </cfRule>
  </conditionalFormatting>
  <conditionalFormatting sqref="D2088">
    <cfRule type="containsText" dxfId="170" priority="172" operator="containsText" text="m2">
      <formula>NOT(ISERROR(SEARCH("m2",D2088)))</formula>
    </cfRule>
  </conditionalFormatting>
  <conditionalFormatting sqref="D173">
    <cfRule type="containsText" dxfId="169" priority="206" operator="containsText" text="m2">
      <formula>NOT(ISERROR(SEARCH("m2",D173)))</formula>
    </cfRule>
  </conditionalFormatting>
  <conditionalFormatting sqref="D1026:D1027">
    <cfRule type="containsText" dxfId="168" priority="193" operator="containsText" text="m2">
      <formula>NOT(ISERROR(SEARCH("m2",D1026)))</formula>
    </cfRule>
  </conditionalFormatting>
  <conditionalFormatting sqref="D1036">
    <cfRule type="containsText" dxfId="167" priority="187" operator="containsText" text="m2">
      <formula>NOT(ISERROR(SEARCH("m2",D1036)))</formula>
    </cfRule>
  </conditionalFormatting>
  <conditionalFormatting sqref="D2086 D2089">
    <cfRule type="containsText" dxfId="166" priority="185" operator="containsText" text="m2">
      <formula>NOT(ISERROR(SEARCH("m2",D2086)))</formula>
    </cfRule>
  </conditionalFormatting>
  <conditionalFormatting sqref="D1018">
    <cfRule type="containsText" dxfId="165" priority="198" operator="containsText" text="m2">
      <formula>NOT(ISERROR(SEARCH("m2",D1018)))</formula>
    </cfRule>
  </conditionalFormatting>
  <conditionalFormatting sqref="D1020">
    <cfRule type="containsText" dxfId="164" priority="197" operator="containsText" text="m2">
      <formula>NOT(ISERROR(SEARCH("m2",D1020)))</formula>
    </cfRule>
  </conditionalFormatting>
  <conditionalFormatting sqref="D1021">
    <cfRule type="containsText" dxfId="163" priority="196" operator="containsText" text="m2">
      <formula>NOT(ISERROR(SEARCH("m2",D1021)))</formula>
    </cfRule>
  </conditionalFormatting>
  <conditionalFormatting sqref="D1012:D1013">
    <cfRule type="containsText" dxfId="162" priority="201" operator="containsText" text="m2">
      <formula>NOT(ISERROR(SEARCH("m2",D1012)))</formula>
    </cfRule>
  </conditionalFormatting>
  <conditionalFormatting sqref="D1014">
    <cfRule type="containsText" dxfId="161" priority="200" operator="containsText" text="m2">
      <formula>NOT(ISERROR(SEARCH("m2",D1014)))</formula>
    </cfRule>
  </conditionalFormatting>
  <conditionalFormatting sqref="D1016:D1017">
    <cfRule type="containsText" dxfId="160" priority="199" operator="containsText" text="m2">
      <formula>NOT(ISERROR(SEARCH("m2",D1016)))</formula>
    </cfRule>
  </conditionalFormatting>
  <conditionalFormatting sqref="D2078:D2079">
    <cfRule type="containsText" dxfId="159" priority="177" operator="containsText" text="m2">
      <formula>NOT(ISERROR(SEARCH("m2",D2078)))</formula>
    </cfRule>
  </conditionalFormatting>
  <conditionalFormatting sqref="D1022 D1025 D1028">
    <cfRule type="containsText" dxfId="158" priority="195" operator="containsText" text="m2">
      <formula>NOT(ISERROR(SEARCH("m2",D1022)))</formula>
    </cfRule>
  </conditionalFormatting>
  <conditionalFormatting sqref="D2085">
    <cfRule type="containsText" dxfId="157" priority="174" operator="containsText" text="m2">
      <formula>NOT(ISERROR(SEARCH("m2",D2085)))</formula>
    </cfRule>
  </conditionalFormatting>
  <conditionalFormatting sqref="D1029">
    <cfRule type="containsText" dxfId="156" priority="192" operator="containsText" text="m2">
      <formula>NOT(ISERROR(SEARCH("m2",D1029)))</formula>
    </cfRule>
  </conditionalFormatting>
  <conditionalFormatting sqref="D1818">
    <cfRule type="containsText" dxfId="155" priority="150" operator="containsText" text="m2">
      <formula>NOT(ISERROR(SEARCH("m2",D1818)))</formula>
    </cfRule>
  </conditionalFormatting>
  <conditionalFormatting sqref="D1032">
    <cfRule type="containsText" dxfId="154" priority="190" operator="containsText" text="m2">
      <formula>NOT(ISERROR(SEARCH("m2",D1032)))</formula>
    </cfRule>
  </conditionalFormatting>
  <conditionalFormatting sqref="D2081:D2082">
    <cfRule type="containsText" dxfId="153" priority="176" operator="containsText" text="m2">
      <formula>NOT(ISERROR(SEARCH("m2",D2081)))</formula>
    </cfRule>
  </conditionalFormatting>
  <conditionalFormatting sqref="D2091">
    <cfRule type="containsText" dxfId="152" priority="170" operator="containsText" text="m2">
      <formula>NOT(ISERROR(SEARCH("m2",D2091)))</formula>
    </cfRule>
  </conditionalFormatting>
  <conditionalFormatting sqref="D1035">
    <cfRule type="containsText" dxfId="151" priority="188" operator="containsText" text="m2">
      <formula>NOT(ISERROR(SEARCH("m2",D1035)))</formula>
    </cfRule>
  </conditionalFormatting>
  <conditionalFormatting sqref="D1937">
    <cfRule type="containsText" dxfId="150" priority="164" operator="containsText" text="m2">
      <formula>NOT(ISERROR(SEARCH("m2",D1937)))</formula>
    </cfRule>
  </conditionalFormatting>
  <conditionalFormatting sqref="D1939">
    <cfRule type="containsText" dxfId="149" priority="163" operator="containsText" text="m2">
      <formula>NOT(ISERROR(SEARCH("m2",D1939)))</formula>
    </cfRule>
  </conditionalFormatting>
  <conditionalFormatting sqref="D1672">
    <cfRule type="containsText" dxfId="148" priority="145" operator="containsText" text="m2">
      <formula>NOT(ISERROR(SEARCH("m2",D1672)))</formula>
    </cfRule>
  </conditionalFormatting>
  <conditionalFormatting sqref="D1808:D1809">
    <cfRule type="containsText" dxfId="147" priority="155" operator="containsText" text="m2">
      <formula>NOT(ISERROR(SEARCH("m2",D1808)))</formula>
    </cfRule>
  </conditionalFormatting>
  <conditionalFormatting sqref="D1815">
    <cfRule type="containsText" dxfId="146" priority="152" operator="containsText" text="m2">
      <formula>NOT(ISERROR(SEARCH("m2",D1815)))</formula>
    </cfRule>
  </conditionalFormatting>
  <conditionalFormatting sqref="D1811:D1812">
    <cfRule type="containsText" dxfId="145" priority="154" operator="containsText" text="m2">
      <formula>NOT(ISERROR(SEARCH("m2",D1811)))</formula>
    </cfRule>
  </conditionalFormatting>
  <conditionalFormatting sqref="D1821">
    <cfRule type="containsText" dxfId="144" priority="148" operator="containsText" text="m2">
      <formula>NOT(ISERROR(SEARCH("m2",D1821)))</formula>
    </cfRule>
  </conditionalFormatting>
  <conditionalFormatting sqref="D1674">
    <cfRule type="containsText" dxfId="143" priority="143" operator="containsText" text="m2">
      <formula>NOT(ISERROR(SEARCH("m2",D1674)))</formula>
    </cfRule>
  </conditionalFormatting>
  <conditionalFormatting sqref="D1668:D1670">
    <cfRule type="containsText" dxfId="142" priority="142" operator="containsText" text="m2">
      <formula>NOT(ISERROR(SEARCH("m2",D1668)))</formula>
    </cfRule>
  </conditionalFormatting>
  <conditionalFormatting sqref="D1816 D1819">
    <cfRule type="containsText" dxfId="141" priority="157" operator="containsText" text="m2">
      <formula>NOT(ISERROR(SEARCH("m2",D1816)))</formula>
    </cfRule>
  </conditionalFormatting>
  <conditionalFormatting sqref="D1943">
    <cfRule type="containsText" dxfId="140" priority="160" operator="containsText" text="m2">
      <formula>NOT(ISERROR(SEARCH("m2",D1943)))</formula>
    </cfRule>
  </conditionalFormatting>
  <conditionalFormatting sqref="D1942">
    <cfRule type="containsText" dxfId="139" priority="161" operator="containsText" text="m2">
      <formula>NOT(ISERROR(SEARCH("m2",D1942)))</formula>
    </cfRule>
  </conditionalFormatting>
  <conditionalFormatting sqref="D2077 D2080 D2083">
    <cfRule type="containsText" dxfId="138" priority="178" operator="containsText" text="m2">
      <formula>NOT(ISERROR(SEARCH("m2",D2077)))</formula>
    </cfRule>
  </conditionalFormatting>
  <conditionalFormatting sqref="D2084">
    <cfRule type="containsText" dxfId="137" priority="175" operator="containsText" text="m2">
      <formula>NOT(ISERROR(SEARCH("m2",D2084)))</formula>
    </cfRule>
  </conditionalFormatting>
  <conditionalFormatting sqref="D2087">
    <cfRule type="containsText" dxfId="136" priority="173" operator="containsText" text="m2">
      <formula>NOT(ISERROR(SEARCH("m2",D2087)))</formula>
    </cfRule>
  </conditionalFormatting>
  <conditionalFormatting sqref="D2090">
    <cfRule type="containsText" dxfId="135" priority="171" operator="containsText" text="m2">
      <formula>NOT(ISERROR(SEARCH("m2",D2090)))</formula>
    </cfRule>
  </conditionalFormatting>
  <conditionalFormatting sqref="D1938 D1941">
    <cfRule type="containsText" dxfId="134" priority="169" operator="containsText" text="m2">
      <formula>NOT(ISERROR(SEARCH("m2",D1938)))</formula>
    </cfRule>
  </conditionalFormatting>
  <conditionalFormatting sqref="D1930:D1931">
    <cfRule type="containsText" dxfId="133" priority="167" operator="containsText" text="m2">
      <formula>NOT(ISERROR(SEARCH("m2",D1930)))</formula>
    </cfRule>
  </conditionalFormatting>
  <conditionalFormatting sqref="D1670">
    <cfRule type="containsText" dxfId="132" priority="139" operator="containsText" text="m2">
      <formula>NOT(ISERROR(SEARCH("m2",D1670)))</formula>
    </cfRule>
  </conditionalFormatting>
  <conditionalFormatting sqref="D1933:D1934">
    <cfRule type="containsText" dxfId="131" priority="166" operator="containsText" text="m2">
      <formula>NOT(ISERROR(SEARCH("m2",D1933)))</formula>
    </cfRule>
  </conditionalFormatting>
  <conditionalFormatting sqref="D1929 D1932 D1935">
    <cfRule type="containsText" dxfId="130" priority="168" operator="containsText" text="m2">
      <formula>NOT(ISERROR(SEARCH("m2",D1929)))</formula>
    </cfRule>
  </conditionalFormatting>
  <conditionalFormatting sqref="D1936">
    <cfRule type="containsText" dxfId="129" priority="165" operator="containsText" text="m2">
      <formula>NOT(ISERROR(SEARCH("m2",D1936)))</formula>
    </cfRule>
  </conditionalFormatting>
  <conditionalFormatting sqref="D1807 D1810 D1813">
    <cfRule type="containsText" dxfId="128" priority="156" operator="containsText" text="m2">
      <formula>NOT(ISERROR(SEARCH("m2",D1807)))</formula>
    </cfRule>
  </conditionalFormatting>
  <conditionalFormatting sqref="D1814">
    <cfRule type="containsText" dxfId="127" priority="153" operator="containsText" text="m2">
      <formula>NOT(ISERROR(SEARCH("m2",D1814)))</formula>
    </cfRule>
  </conditionalFormatting>
  <conditionalFormatting sqref="D1945">
    <cfRule type="containsText" dxfId="126" priority="125" operator="containsText" text="m2">
      <formula>NOT(ISERROR(SEARCH("m2",D1945)))</formula>
    </cfRule>
  </conditionalFormatting>
  <conditionalFormatting sqref="D1944">
    <cfRule type="containsText" dxfId="125" priority="130" operator="containsText" text="m2">
      <formula>NOT(ISERROR(SEARCH("m2",D1944)))</formula>
    </cfRule>
  </conditionalFormatting>
  <conditionalFormatting sqref="D1951">
    <cfRule type="containsText" dxfId="124" priority="127" operator="containsText" text="m2">
      <formula>NOT(ISERROR(SEARCH("m2",D1951)))</formula>
    </cfRule>
  </conditionalFormatting>
  <conditionalFormatting sqref="D1820">
    <cfRule type="containsText" dxfId="123" priority="149" operator="containsText" text="m2">
      <formula>NOT(ISERROR(SEARCH("m2",D1820)))</formula>
    </cfRule>
  </conditionalFormatting>
  <conditionalFormatting sqref="D1817">
    <cfRule type="containsText" dxfId="122" priority="151" operator="containsText" text="m2">
      <formula>NOT(ISERROR(SEARCH("m2",D1817)))</formula>
    </cfRule>
  </conditionalFormatting>
  <conditionalFormatting sqref="D1949">
    <cfRule type="containsText" dxfId="121" priority="129" operator="containsText" text="m2">
      <formula>NOT(ISERROR(SEARCH("m2",D1949)))</formula>
    </cfRule>
  </conditionalFormatting>
  <conditionalFormatting sqref="D1945:D1947">
    <cfRule type="containsText" dxfId="120" priority="126" operator="containsText" text="m2">
      <formula>NOT(ISERROR(SEARCH("m2",D1945)))</formula>
    </cfRule>
  </conditionalFormatting>
  <conditionalFormatting sqref="D1673">
    <cfRule type="containsText" dxfId="119" priority="144" operator="containsText" text="m2">
      <formula>NOT(ISERROR(SEARCH("m2",D1673)))</formula>
    </cfRule>
  </conditionalFormatting>
  <conditionalFormatting sqref="D1947">
    <cfRule type="containsText" dxfId="118" priority="123" operator="containsText" text="m2">
      <formula>NOT(ISERROR(SEARCH("m2",D1947)))</formula>
    </cfRule>
  </conditionalFormatting>
  <conditionalFormatting sqref="D1668">
    <cfRule type="containsText" dxfId="117" priority="141" operator="containsText" text="m2">
      <formula>NOT(ISERROR(SEARCH("m2",D1668)))</formula>
    </cfRule>
  </conditionalFormatting>
  <conditionalFormatting sqref="D1669">
    <cfRule type="containsText" dxfId="116" priority="140" operator="containsText" text="m2">
      <formula>NOT(ISERROR(SEARCH("m2",D1669)))</formula>
    </cfRule>
  </conditionalFormatting>
  <conditionalFormatting sqref="D1950">
    <cfRule type="containsText" dxfId="115" priority="128" operator="containsText" text="m2">
      <formula>NOT(ISERROR(SEARCH("m2",D1950)))</formula>
    </cfRule>
  </conditionalFormatting>
  <conditionalFormatting sqref="D1946">
    <cfRule type="containsText" dxfId="114" priority="124" operator="containsText" text="m2">
      <formula>NOT(ISERROR(SEARCH("m2",D1946)))</formula>
    </cfRule>
  </conditionalFormatting>
  <conditionalFormatting sqref="D1677">
    <cfRule type="containsText" dxfId="113" priority="121" operator="containsText" text="m2">
      <formula>NOT(ISERROR(SEARCH("m2",D1677)))</formula>
    </cfRule>
  </conditionalFormatting>
  <conditionalFormatting sqref="D1676">
    <cfRule type="containsText" dxfId="112" priority="122" operator="containsText" text="m2">
      <formula>NOT(ISERROR(SEARCH("m2",D1676)))</formula>
    </cfRule>
  </conditionalFormatting>
  <conditionalFormatting sqref="D1678">
    <cfRule type="containsText" dxfId="111" priority="120" operator="containsText" text="m2">
      <formula>NOT(ISERROR(SEARCH("m2",D1678)))</formula>
    </cfRule>
  </conditionalFormatting>
  <conditionalFormatting sqref="D1680">
    <cfRule type="containsText" dxfId="110" priority="118" operator="containsText" text="m2">
      <formula>NOT(ISERROR(SEARCH("m2",D1680)))</formula>
    </cfRule>
  </conditionalFormatting>
  <conditionalFormatting sqref="D1679">
    <cfRule type="containsText" dxfId="109" priority="119" operator="containsText" text="m2">
      <formula>NOT(ISERROR(SEARCH("m2",D1679)))</formula>
    </cfRule>
  </conditionalFormatting>
  <conditionalFormatting sqref="D178">
    <cfRule type="containsText" dxfId="108" priority="117" operator="containsText" text="m2">
      <formula>NOT(ISERROR(SEARCH("m2",D178)))</formula>
    </cfRule>
  </conditionalFormatting>
  <conditionalFormatting sqref="D180">
    <cfRule type="containsText" dxfId="107" priority="115" operator="containsText" text="m2">
      <formula>NOT(ISERROR(SEARCH("m2",D180)))</formula>
    </cfRule>
  </conditionalFormatting>
  <conditionalFormatting sqref="D179">
    <cfRule type="containsText" dxfId="106" priority="116" operator="containsText" text="m2">
      <formula>NOT(ISERROR(SEARCH("m2",D179)))</formula>
    </cfRule>
  </conditionalFormatting>
  <conditionalFormatting sqref="D181">
    <cfRule type="containsText" dxfId="105" priority="114" operator="containsText" text="m2">
      <formula>NOT(ISERROR(SEARCH("m2",D181)))</formula>
    </cfRule>
  </conditionalFormatting>
  <conditionalFormatting sqref="D183">
    <cfRule type="containsText" dxfId="104" priority="112" operator="containsText" text="m2">
      <formula>NOT(ISERROR(SEARCH("m2",D183)))</formula>
    </cfRule>
  </conditionalFormatting>
  <conditionalFormatting sqref="D182">
    <cfRule type="containsText" dxfId="103" priority="113" operator="containsText" text="m2">
      <formula>NOT(ISERROR(SEARCH("m2",D182)))</formula>
    </cfRule>
  </conditionalFormatting>
  <conditionalFormatting sqref="D1037">
    <cfRule type="containsText" dxfId="102" priority="111" operator="containsText" text="m2">
      <formula>NOT(ISERROR(SEARCH("m2",D1037)))</formula>
    </cfRule>
  </conditionalFormatting>
  <conditionalFormatting sqref="D1039">
    <cfRule type="containsText" dxfId="101" priority="109" operator="containsText" text="m2">
      <formula>NOT(ISERROR(SEARCH("m2",D1039)))</formula>
    </cfRule>
  </conditionalFormatting>
  <conditionalFormatting sqref="D1038">
    <cfRule type="containsText" dxfId="100" priority="110" operator="containsText" text="m2">
      <formula>NOT(ISERROR(SEARCH("m2",D1038)))</formula>
    </cfRule>
  </conditionalFormatting>
  <conditionalFormatting sqref="D1040">
    <cfRule type="containsText" dxfId="99" priority="108" operator="containsText" text="m2">
      <formula>NOT(ISERROR(SEARCH("m2",D1040)))</formula>
    </cfRule>
  </conditionalFormatting>
  <conditionalFormatting sqref="D1042">
    <cfRule type="containsText" dxfId="98" priority="106" operator="containsText" text="m2">
      <formula>NOT(ISERROR(SEARCH("m2",D1042)))</formula>
    </cfRule>
  </conditionalFormatting>
  <conditionalFormatting sqref="D1041">
    <cfRule type="containsText" dxfId="97" priority="107" operator="containsText" text="m2">
      <formula>NOT(ISERROR(SEARCH("m2",D1041)))</formula>
    </cfRule>
  </conditionalFormatting>
  <conditionalFormatting sqref="D1584">
    <cfRule type="containsText" dxfId="96" priority="105" operator="containsText" text="m2">
      <formula>NOT(ISERROR(SEARCH("m2",D1584)))</formula>
    </cfRule>
  </conditionalFormatting>
  <conditionalFormatting sqref="D1586">
    <cfRule type="containsText" dxfId="95" priority="103" operator="containsText" text="m2">
      <formula>NOT(ISERROR(SEARCH("m2",D1586)))</formula>
    </cfRule>
  </conditionalFormatting>
  <conditionalFormatting sqref="D1585">
    <cfRule type="containsText" dxfId="94" priority="104" operator="containsText" text="m2">
      <formula>NOT(ISERROR(SEARCH("m2",D1585)))</formula>
    </cfRule>
  </conditionalFormatting>
  <conditionalFormatting sqref="D1587">
    <cfRule type="containsText" dxfId="93" priority="102" operator="containsText" text="m2">
      <formula>NOT(ISERROR(SEARCH("m2",D1587)))</formula>
    </cfRule>
  </conditionalFormatting>
  <conditionalFormatting sqref="D1589">
    <cfRule type="containsText" dxfId="92" priority="100" operator="containsText" text="m2">
      <formula>NOT(ISERROR(SEARCH("m2",D1589)))</formula>
    </cfRule>
  </conditionalFormatting>
  <conditionalFormatting sqref="D1588">
    <cfRule type="containsText" dxfId="91" priority="101" operator="containsText" text="m2">
      <formula>NOT(ISERROR(SEARCH("m2",D1588)))</formula>
    </cfRule>
  </conditionalFormatting>
  <conditionalFormatting sqref="D1822">
    <cfRule type="containsText" dxfId="90" priority="99" operator="containsText" text="m2">
      <formula>NOT(ISERROR(SEARCH("m2",D1822)))</formula>
    </cfRule>
  </conditionalFormatting>
  <conditionalFormatting sqref="D1824">
    <cfRule type="containsText" dxfId="89" priority="97" operator="containsText" text="m2">
      <formula>NOT(ISERROR(SEARCH("m2",D1824)))</formula>
    </cfRule>
  </conditionalFormatting>
  <conditionalFormatting sqref="D1823">
    <cfRule type="containsText" dxfId="88" priority="98" operator="containsText" text="m2">
      <formula>NOT(ISERROR(SEARCH("m2",D1823)))</formula>
    </cfRule>
  </conditionalFormatting>
  <conditionalFormatting sqref="D1825">
    <cfRule type="containsText" dxfId="87" priority="96" operator="containsText" text="m2">
      <formula>NOT(ISERROR(SEARCH("m2",D1825)))</formula>
    </cfRule>
  </conditionalFormatting>
  <conditionalFormatting sqref="D1827">
    <cfRule type="containsText" dxfId="86" priority="94" operator="containsText" text="m2">
      <formula>NOT(ISERROR(SEARCH("m2",D1827)))</formula>
    </cfRule>
  </conditionalFormatting>
  <conditionalFormatting sqref="D1826">
    <cfRule type="containsText" dxfId="85" priority="95" operator="containsText" text="m2">
      <formula>NOT(ISERROR(SEARCH("m2",D1826)))</formula>
    </cfRule>
  </conditionalFormatting>
  <conditionalFormatting sqref="D1952">
    <cfRule type="containsText" dxfId="84" priority="93" operator="containsText" text="m2">
      <formula>NOT(ISERROR(SEARCH("m2",D1952)))</formula>
    </cfRule>
  </conditionalFormatting>
  <conditionalFormatting sqref="D1954">
    <cfRule type="containsText" dxfId="83" priority="91" operator="containsText" text="m2">
      <formula>NOT(ISERROR(SEARCH("m2",D1954)))</formula>
    </cfRule>
  </conditionalFormatting>
  <conditionalFormatting sqref="D1953">
    <cfRule type="containsText" dxfId="82" priority="92" operator="containsText" text="m2">
      <formula>NOT(ISERROR(SEARCH("m2",D1953)))</formula>
    </cfRule>
  </conditionalFormatting>
  <conditionalFormatting sqref="D1955">
    <cfRule type="containsText" dxfId="81" priority="90" operator="containsText" text="m2">
      <formula>NOT(ISERROR(SEARCH("m2",D1955)))</formula>
    </cfRule>
  </conditionalFormatting>
  <conditionalFormatting sqref="D1957">
    <cfRule type="containsText" dxfId="80" priority="88" operator="containsText" text="m2">
      <formula>NOT(ISERROR(SEARCH("m2",D1957)))</formula>
    </cfRule>
  </conditionalFormatting>
  <conditionalFormatting sqref="D1956">
    <cfRule type="containsText" dxfId="79" priority="89" operator="containsText" text="m2">
      <formula>NOT(ISERROR(SEARCH("m2",D1956)))</formula>
    </cfRule>
  </conditionalFormatting>
  <conditionalFormatting sqref="D1828">
    <cfRule type="containsText" dxfId="78" priority="87" operator="containsText" text="m2">
      <formula>NOT(ISERROR(SEARCH("m2",D1828)))</formula>
    </cfRule>
  </conditionalFormatting>
  <conditionalFormatting sqref="D1830">
    <cfRule type="containsText" dxfId="77" priority="85" operator="containsText" text="m2">
      <formula>NOT(ISERROR(SEARCH("m2",D1830)))</formula>
    </cfRule>
  </conditionalFormatting>
  <conditionalFormatting sqref="D1829">
    <cfRule type="containsText" dxfId="76" priority="86" operator="containsText" text="m2">
      <formula>NOT(ISERROR(SEARCH("m2",D1829)))</formula>
    </cfRule>
  </conditionalFormatting>
  <conditionalFormatting sqref="D1831">
    <cfRule type="containsText" dxfId="75" priority="84" operator="containsText" text="m2">
      <formula>NOT(ISERROR(SEARCH("m2",D1831)))</formula>
    </cfRule>
  </conditionalFormatting>
  <conditionalFormatting sqref="D1833">
    <cfRule type="containsText" dxfId="74" priority="82" operator="containsText" text="m2">
      <formula>NOT(ISERROR(SEARCH("m2",D1833)))</formula>
    </cfRule>
  </conditionalFormatting>
  <conditionalFormatting sqref="D1832">
    <cfRule type="containsText" dxfId="73" priority="83" operator="containsText" text="m2">
      <formula>NOT(ISERROR(SEARCH("m2",D1832)))</formula>
    </cfRule>
  </conditionalFormatting>
  <conditionalFormatting sqref="D1681">
    <cfRule type="containsText" dxfId="72" priority="81" operator="containsText" text="m2">
      <formula>NOT(ISERROR(SEARCH("m2",D1681)))</formula>
    </cfRule>
  </conditionalFormatting>
  <conditionalFormatting sqref="D1683">
    <cfRule type="containsText" dxfId="71" priority="79" operator="containsText" text="m2">
      <formula>NOT(ISERROR(SEARCH("m2",D1683)))</formula>
    </cfRule>
  </conditionalFormatting>
  <conditionalFormatting sqref="D1682">
    <cfRule type="containsText" dxfId="70" priority="80" operator="containsText" text="m2">
      <formula>NOT(ISERROR(SEARCH("m2",D1682)))</formula>
    </cfRule>
  </conditionalFormatting>
  <conditionalFormatting sqref="D1684">
    <cfRule type="containsText" dxfId="69" priority="78" operator="containsText" text="m2">
      <formula>NOT(ISERROR(SEARCH("m2",D1684)))</formula>
    </cfRule>
  </conditionalFormatting>
  <conditionalFormatting sqref="D1686">
    <cfRule type="containsText" dxfId="68" priority="76" operator="containsText" text="m2">
      <formula>NOT(ISERROR(SEARCH("m2",D1686)))</formula>
    </cfRule>
  </conditionalFormatting>
  <conditionalFormatting sqref="D1685">
    <cfRule type="containsText" dxfId="67" priority="77" operator="containsText" text="m2">
      <formula>NOT(ISERROR(SEARCH("m2",D1685)))</formula>
    </cfRule>
  </conditionalFormatting>
  <conditionalFormatting sqref="D190">
    <cfRule type="containsText" dxfId="66" priority="75" operator="containsText" text="m2">
      <formula>NOT(ISERROR(SEARCH("m2",D190)))</formula>
    </cfRule>
  </conditionalFormatting>
  <conditionalFormatting sqref="D184">
    <cfRule type="containsText" dxfId="65" priority="74" operator="containsText" text="m2">
      <formula>NOT(ISERROR(SEARCH("m2",D184)))</formula>
    </cfRule>
  </conditionalFormatting>
  <conditionalFormatting sqref="D186">
    <cfRule type="containsText" dxfId="64" priority="72" operator="containsText" text="m2">
      <formula>NOT(ISERROR(SEARCH("m2",D186)))</formula>
    </cfRule>
  </conditionalFormatting>
  <conditionalFormatting sqref="D185">
    <cfRule type="containsText" dxfId="63" priority="73" operator="containsText" text="m2">
      <formula>NOT(ISERROR(SEARCH("m2",D185)))</formula>
    </cfRule>
  </conditionalFormatting>
  <conditionalFormatting sqref="D187">
    <cfRule type="containsText" dxfId="62" priority="71" operator="containsText" text="m2">
      <formula>NOT(ISERROR(SEARCH("m2",D187)))</formula>
    </cfRule>
  </conditionalFormatting>
  <conditionalFormatting sqref="D189">
    <cfRule type="containsText" dxfId="61" priority="69" operator="containsText" text="m2">
      <formula>NOT(ISERROR(SEARCH("m2",D189)))</formula>
    </cfRule>
  </conditionalFormatting>
  <conditionalFormatting sqref="D188">
    <cfRule type="containsText" dxfId="60" priority="70" operator="containsText" text="m2">
      <formula>NOT(ISERROR(SEARCH("m2",D188)))</formula>
    </cfRule>
  </conditionalFormatting>
  <conditionalFormatting sqref="D1043">
    <cfRule type="containsText" dxfId="59" priority="68" operator="containsText" text="m2">
      <formula>NOT(ISERROR(SEARCH("m2",D1043)))</formula>
    </cfRule>
  </conditionalFormatting>
  <conditionalFormatting sqref="D1045">
    <cfRule type="containsText" dxfId="58" priority="66" operator="containsText" text="m2">
      <formula>NOT(ISERROR(SEARCH("m2",D1045)))</formula>
    </cfRule>
  </conditionalFormatting>
  <conditionalFormatting sqref="D1044">
    <cfRule type="containsText" dxfId="57" priority="67" operator="containsText" text="m2">
      <formula>NOT(ISERROR(SEARCH("m2",D1044)))</formula>
    </cfRule>
  </conditionalFormatting>
  <conditionalFormatting sqref="D1046">
    <cfRule type="containsText" dxfId="56" priority="65" operator="containsText" text="m2">
      <formula>NOT(ISERROR(SEARCH("m2",D1046)))</formula>
    </cfRule>
  </conditionalFormatting>
  <conditionalFormatting sqref="D1048">
    <cfRule type="containsText" dxfId="55" priority="63" operator="containsText" text="m2">
      <formula>NOT(ISERROR(SEARCH("m2",D1048)))</formula>
    </cfRule>
  </conditionalFormatting>
  <conditionalFormatting sqref="D1047">
    <cfRule type="containsText" dxfId="54" priority="64" operator="containsText" text="m2">
      <formula>NOT(ISERROR(SEARCH("m2",D1047)))</formula>
    </cfRule>
  </conditionalFormatting>
  <conditionalFormatting sqref="D2092">
    <cfRule type="containsText" dxfId="53" priority="61" operator="containsText" text="m2">
      <formula>NOT(ISERROR(SEARCH("m2",D2092)))</formula>
    </cfRule>
  </conditionalFormatting>
  <conditionalFormatting sqref="D2094">
    <cfRule type="containsText" dxfId="52" priority="59" operator="containsText" text="m2">
      <formula>NOT(ISERROR(SEARCH("m2",D2094)))</formula>
    </cfRule>
  </conditionalFormatting>
  <conditionalFormatting sqref="D2093">
    <cfRule type="containsText" dxfId="51" priority="60" operator="containsText" text="m2">
      <formula>NOT(ISERROR(SEARCH("m2",D2093)))</formula>
    </cfRule>
  </conditionalFormatting>
  <conditionalFormatting sqref="D2095">
    <cfRule type="containsText" dxfId="50" priority="58" operator="containsText" text="m2">
      <formula>NOT(ISERROR(SEARCH("m2",D2095)))</formula>
    </cfRule>
  </conditionalFormatting>
  <conditionalFormatting sqref="D2097">
    <cfRule type="containsText" dxfId="49" priority="56" operator="containsText" text="m2">
      <formula>NOT(ISERROR(SEARCH("m2",D2097)))</formula>
    </cfRule>
  </conditionalFormatting>
  <conditionalFormatting sqref="D2096">
    <cfRule type="containsText" dxfId="48" priority="57" operator="containsText" text="m2">
      <formula>NOT(ISERROR(SEARCH("m2",D2096)))</formula>
    </cfRule>
  </conditionalFormatting>
  <conditionalFormatting sqref="D1958">
    <cfRule type="containsText" dxfId="47" priority="55" operator="containsText" text="m2">
      <formula>NOT(ISERROR(SEARCH("m2",D1958)))</formula>
    </cfRule>
  </conditionalFormatting>
  <conditionalFormatting sqref="D1960">
    <cfRule type="containsText" dxfId="46" priority="53" operator="containsText" text="m2">
      <formula>NOT(ISERROR(SEARCH("m2",D1960)))</formula>
    </cfRule>
  </conditionalFormatting>
  <conditionalFormatting sqref="D1959">
    <cfRule type="containsText" dxfId="45" priority="54" operator="containsText" text="m2">
      <formula>NOT(ISERROR(SEARCH("m2",D1959)))</formula>
    </cfRule>
  </conditionalFormatting>
  <conditionalFormatting sqref="D1961">
    <cfRule type="containsText" dxfId="44" priority="52" operator="containsText" text="m2">
      <formula>NOT(ISERROR(SEARCH("m2",D1961)))</formula>
    </cfRule>
  </conditionalFormatting>
  <conditionalFormatting sqref="D1963">
    <cfRule type="containsText" dxfId="43" priority="50" operator="containsText" text="m2">
      <formula>NOT(ISERROR(SEARCH("m2",D1963)))</formula>
    </cfRule>
  </conditionalFormatting>
  <conditionalFormatting sqref="D1962">
    <cfRule type="containsText" dxfId="42" priority="51" operator="containsText" text="m2">
      <formula>NOT(ISERROR(SEARCH("m2",D1962)))</formula>
    </cfRule>
  </conditionalFormatting>
  <conditionalFormatting sqref="D191">
    <cfRule type="containsText" dxfId="41" priority="49" operator="containsText" text="m2">
      <formula>NOT(ISERROR(SEARCH("m2",D191)))</formula>
    </cfRule>
  </conditionalFormatting>
  <conditionalFormatting sqref="D1687">
    <cfRule type="containsText" dxfId="40" priority="48" operator="containsText" text="m2">
      <formula>NOT(ISERROR(SEARCH("m2",D1687)))</formula>
    </cfRule>
  </conditionalFormatting>
  <conditionalFormatting sqref="D1688">
    <cfRule type="containsText" dxfId="39" priority="47" operator="containsText" text="m2">
      <formula>NOT(ISERROR(SEARCH("m2",D1688)))</formula>
    </cfRule>
  </conditionalFormatting>
  <conditionalFormatting sqref="D1049">
    <cfRule type="containsText" dxfId="38" priority="46" operator="containsText" text="m2">
      <formula>NOT(ISERROR(SEARCH("m2",D1049)))</formula>
    </cfRule>
  </conditionalFormatting>
  <conditionalFormatting sqref="D1050">
    <cfRule type="containsText" dxfId="37" priority="45" operator="containsText" text="m2">
      <formula>NOT(ISERROR(SEARCH("m2",D1050)))</formula>
    </cfRule>
  </conditionalFormatting>
  <conditionalFormatting sqref="D1834">
    <cfRule type="containsText" dxfId="36" priority="44" operator="containsText" text="m2">
      <formula>NOT(ISERROR(SEARCH("m2",D1834)))</formula>
    </cfRule>
  </conditionalFormatting>
  <conditionalFormatting sqref="D1835">
    <cfRule type="containsText" dxfId="35" priority="43" operator="containsText" text="m2">
      <formula>NOT(ISERROR(SEARCH("m2",D1835)))</formula>
    </cfRule>
  </conditionalFormatting>
  <conditionalFormatting sqref="D1964">
    <cfRule type="containsText" dxfId="34" priority="42" operator="containsText" text="m2">
      <formula>NOT(ISERROR(SEARCH("m2",D1964)))</formula>
    </cfRule>
  </conditionalFormatting>
  <conditionalFormatting sqref="D1965">
    <cfRule type="containsText" dxfId="33" priority="41" operator="containsText" text="m2">
      <formula>NOT(ISERROR(SEARCH("m2",D1965)))</formula>
    </cfRule>
  </conditionalFormatting>
  <conditionalFormatting sqref="D2098">
    <cfRule type="containsText" dxfId="32" priority="40" operator="containsText" text="m2">
      <formula>NOT(ISERROR(SEARCH("m2",D2098)))</formula>
    </cfRule>
  </conditionalFormatting>
  <conditionalFormatting sqref="D2099">
    <cfRule type="containsText" dxfId="31" priority="39" operator="containsText" text="m2">
      <formula>NOT(ISERROR(SEARCH("m2",D2099)))</formula>
    </cfRule>
  </conditionalFormatting>
  <conditionalFormatting sqref="D2128">
    <cfRule type="containsText" dxfId="30" priority="37" operator="containsText" text="m2">
      <formula>NOT(ISERROR(SEARCH("m2",D2128)))</formula>
    </cfRule>
  </conditionalFormatting>
  <conditionalFormatting sqref="D2146">
    <cfRule type="containsText" dxfId="29" priority="35" operator="containsText" text="m2">
      <formula>NOT(ISERROR(SEARCH("m2",D2146)))</formula>
    </cfRule>
  </conditionalFormatting>
  <conditionalFormatting sqref="D1234">
    <cfRule type="containsText" dxfId="28" priority="34" operator="containsText" text="m2">
      <formula>NOT(ISERROR(SEARCH("m2",D1234)))</formula>
    </cfRule>
  </conditionalFormatting>
  <conditionalFormatting sqref="D1261">
    <cfRule type="containsText" dxfId="27" priority="32" operator="containsText" text="m2">
      <formula>NOT(ISERROR(SEARCH("m2",D1261)))</formula>
    </cfRule>
  </conditionalFormatting>
  <conditionalFormatting sqref="D967">
    <cfRule type="containsText" dxfId="26" priority="21" operator="containsText" text="m2">
      <formula>NOT(ISERROR(SEARCH("m2",D967)))</formula>
    </cfRule>
  </conditionalFormatting>
  <conditionalFormatting sqref="D934">
    <cfRule type="containsText" dxfId="25" priority="31" operator="containsText" text="m2">
      <formula>NOT(ISERROR(SEARCH("m2",D934)))</formula>
    </cfRule>
  </conditionalFormatting>
  <conditionalFormatting sqref="D936">
    <cfRule type="containsText" dxfId="24" priority="30" operator="containsText" text="m2">
      <formula>NOT(ISERROR(SEARCH("m2",D936)))</formula>
    </cfRule>
  </conditionalFormatting>
  <conditionalFormatting sqref="D938">
    <cfRule type="containsText" dxfId="23" priority="29" operator="containsText" text="m2">
      <formula>NOT(ISERROR(SEARCH("m2",D938)))</formula>
    </cfRule>
  </conditionalFormatting>
  <conditionalFormatting sqref="D940">
    <cfRule type="containsText" dxfId="22" priority="28" operator="containsText" text="m2">
      <formula>NOT(ISERROR(SEARCH("m2",D940)))</formula>
    </cfRule>
  </conditionalFormatting>
  <conditionalFormatting sqref="D942">
    <cfRule type="containsText" dxfId="21" priority="27" operator="containsText" text="m2">
      <formula>NOT(ISERROR(SEARCH("m2",D942)))</formula>
    </cfRule>
  </conditionalFormatting>
  <conditionalFormatting sqref="D944">
    <cfRule type="containsText" dxfId="20" priority="26" operator="containsText" text="m2">
      <formula>NOT(ISERROR(SEARCH("m2",D944)))</formula>
    </cfRule>
  </conditionalFormatting>
  <conditionalFormatting sqref="D1550">
    <cfRule type="containsText" dxfId="19" priority="20" operator="containsText" text="m2">
      <formula>NOT(ISERROR(SEARCH("m2",D1550)))</formula>
    </cfRule>
  </conditionalFormatting>
  <conditionalFormatting sqref="D959">
    <cfRule type="containsText" dxfId="18" priority="25" operator="containsText" text="m2">
      <formula>NOT(ISERROR(SEARCH("m2",D959)))</formula>
    </cfRule>
  </conditionalFormatting>
  <conditionalFormatting sqref="D961">
    <cfRule type="containsText" dxfId="17" priority="24" operator="containsText" text="m2">
      <formula>NOT(ISERROR(SEARCH("m2",D961)))</formula>
    </cfRule>
  </conditionalFormatting>
  <conditionalFormatting sqref="D963">
    <cfRule type="containsText" dxfId="16" priority="23" operator="containsText" text="m2">
      <formula>NOT(ISERROR(SEARCH("m2",D963)))</formula>
    </cfRule>
  </conditionalFormatting>
  <conditionalFormatting sqref="D965">
    <cfRule type="containsText" dxfId="15" priority="22" operator="containsText" text="m2">
      <formula>NOT(ISERROR(SEARCH("m2",D965)))</formula>
    </cfRule>
  </conditionalFormatting>
  <conditionalFormatting sqref="D1749:D1753">
    <cfRule type="containsText" dxfId="14" priority="19" operator="containsText" text="m2">
      <formula>NOT(ISERROR(SEARCH("m2",D1749)))</formula>
    </cfRule>
  </conditionalFormatting>
  <conditionalFormatting sqref="D1749:D1753">
    <cfRule type="containsText" dxfId="13" priority="18" operator="containsText" text="m2">
      <formula>NOT(ISERROR(SEARCH("m2",D1749)))</formula>
    </cfRule>
  </conditionalFormatting>
  <conditionalFormatting sqref="D1086:D1089">
    <cfRule type="containsText" dxfId="12" priority="17" operator="containsText" text="m2">
      <formula>NOT(ISERROR(SEARCH("m2",D1086)))</formula>
    </cfRule>
  </conditionalFormatting>
  <conditionalFormatting sqref="D1086:D1089">
    <cfRule type="containsText" dxfId="11" priority="16" operator="containsText" text="m2">
      <formula>NOT(ISERROR(SEARCH("m2",D1086)))</formula>
    </cfRule>
  </conditionalFormatting>
  <conditionalFormatting sqref="D1726">
    <cfRule type="containsText" dxfId="10" priority="13" operator="containsText" text="m2">
      <formula>NOT(ISERROR(SEARCH("m2",D1726)))</formula>
    </cfRule>
  </conditionalFormatting>
  <conditionalFormatting sqref="D1726">
    <cfRule type="containsText" dxfId="9" priority="14" operator="containsText" text="m2">
      <formula>NOT(ISERROR(SEARCH("m2",D1726)))</formula>
    </cfRule>
  </conditionalFormatting>
  <conditionalFormatting sqref="D2005">
    <cfRule type="containsText" dxfId="8" priority="11" operator="containsText" text="m2">
      <formula>NOT(ISERROR(SEARCH("m2",D2005)))</formula>
    </cfRule>
  </conditionalFormatting>
  <conditionalFormatting sqref="D2005">
    <cfRule type="containsText" dxfId="7" priority="12" operator="containsText" text="m2">
      <formula>NOT(ISERROR(SEARCH("m2",D2005)))</formula>
    </cfRule>
  </conditionalFormatting>
  <conditionalFormatting sqref="D115">
    <cfRule type="containsText" dxfId="6" priority="10" operator="containsText" text="m2">
      <formula>NOT(ISERROR(SEARCH("m2",D115)))</formula>
    </cfRule>
  </conditionalFormatting>
  <conditionalFormatting sqref="D117">
    <cfRule type="containsText" dxfId="5" priority="9" operator="containsText" text="m2">
      <formula>NOT(ISERROR(SEARCH("m2",D117)))</formula>
    </cfRule>
  </conditionalFormatting>
  <conditionalFormatting sqref="D322">
    <cfRule type="containsText" dxfId="4" priority="5" operator="containsText" text="m2">
      <formula>NOT(ISERROR(SEARCH("m2",D322)))</formula>
    </cfRule>
  </conditionalFormatting>
  <conditionalFormatting sqref="D1411:D1413">
    <cfRule type="containsText" dxfId="3" priority="4" operator="containsText" text="m2">
      <formula>NOT(ISERROR(SEARCH("m2",D1411)))</formula>
    </cfRule>
  </conditionalFormatting>
  <conditionalFormatting sqref="D2126:D2127">
    <cfRule type="containsText" dxfId="2" priority="2" operator="containsText" text="m2">
      <formula>NOT(ISERROR(SEARCH("m2",D2126)))</formula>
    </cfRule>
  </conditionalFormatting>
  <conditionalFormatting sqref="D2126:D2127">
    <cfRule type="containsText" dxfId="1" priority="3" operator="containsText" text="m2">
      <formula>NOT(ISERROR(SEARCH("m2",D2126)))</formula>
    </cfRule>
  </conditionalFormatting>
  <conditionalFormatting sqref="D2116:D2117">
    <cfRule type="containsText" dxfId="0" priority="1" operator="containsText" text="m2">
      <formula>NOT(ISERROR(SEARCH("m2",D2116)))</formula>
    </cfRule>
  </conditionalFormatting>
  <pageMargins left="0.51181102362204722" right="0.51181102362204722" top="0.78740157480314965" bottom="0.78740157480314965" header="0.31496062992125984" footer="0.31496062992125984"/>
  <pageSetup paperSize="9" scale="56" fitToHeight="0" orientation="landscape" r:id="rId1"/>
  <rowBreaks count="2" manualBreakCount="2">
    <brk id="2075" min="1" max="7" man="1"/>
    <brk id="2198" min="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9"/>
  <sheetViews>
    <sheetView showGridLines="0" tabSelected="1" zoomScale="73" zoomScaleNormal="73" zoomScaleSheetLayoutView="73" zoomScalePageLayoutView="60" workbookViewId="0">
      <selection activeCell="I14" sqref="I14"/>
    </sheetView>
  </sheetViews>
  <sheetFormatPr defaultColWidth="9.140625" defaultRowHeight="14.25" x14ac:dyDescent="0.25"/>
  <cols>
    <col min="1" max="1" width="9.140625" style="23"/>
    <col min="2" max="2" width="9.7109375" style="31" customWidth="1"/>
    <col min="3" max="3" width="15.5703125" style="15" bestFit="1" customWidth="1"/>
    <col min="4" max="4" width="17.42578125" style="38" bestFit="1" customWidth="1"/>
    <col min="5" max="5" width="104.7109375" style="18" customWidth="1"/>
    <col min="6" max="6" width="10.85546875" style="14" customWidth="1"/>
    <col min="7" max="7" width="16.7109375" style="42" customWidth="1"/>
    <col min="8" max="8" width="14.5703125" style="47" bestFit="1" customWidth="1"/>
    <col min="9" max="9" width="21" style="47" bestFit="1" customWidth="1"/>
    <col min="10" max="10" width="19.5703125" style="19" bestFit="1" customWidth="1"/>
    <col min="11" max="11" width="13.7109375" style="16" customWidth="1"/>
    <col min="12" max="12" width="25.140625" style="23" bestFit="1" customWidth="1"/>
    <col min="13" max="16384" width="9.140625" style="23"/>
  </cols>
  <sheetData>
    <row r="1" spans="1:13" s="21" customFormat="1" ht="15" thickBot="1" x14ac:dyDescent="0.3">
      <c r="A1" s="43"/>
      <c r="K1" s="595"/>
      <c r="L1" s="43"/>
      <c r="M1" s="43"/>
    </row>
    <row r="2" spans="1:13" s="43" customFormat="1" ht="15.75" x14ac:dyDescent="0.25">
      <c r="B2" s="508" t="s">
        <v>0</v>
      </c>
      <c r="C2" s="509"/>
      <c r="D2" s="509"/>
      <c r="E2" s="509"/>
      <c r="F2" s="509"/>
      <c r="G2" s="509"/>
      <c r="H2" s="509"/>
      <c r="I2" s="509"/>
      <c r="J2" s="510"/>
      <c r="K2" s="595"/>
    </row>
    <row r="3" spans="1:13" s="21" customFormat="1" ht="15.75" x14ac:dyDescent="0.25">
      <c r="A3" s="43"/>
      <c r="B3" s="511" t="s">
        <v>535</v>
      </c>
      <c r="C3" s="512"/>
      <c r="D3" s="512"/>
      <c r="E3" s="512"/>
      <c r="F3" s="512"/>
      <c r="G3" s="512"/>
      <c r="H3" s="512"/>
      <c r="I3" s="512"/>
      <c r="J3" s="513"/>
      <c r="K3" s="595"/>
      <c r="L3" s="43"/>
      <c r="M3" s="43"/>
    </row>
    <row r="4" spans="1:13" s="21" customFormat="1" ht="15.75" customHeight="1" x14ac:dyDescent="0.25">
      <c r="A4" s="43"/>
      <c r="B4" s="596" t="s">
        <v>124</v>
      </c>
      <c r="C4" s="597"/>
      <c r="D4" s="597"/>
      <c r="E4" s="597"/>
      <c r="F4" s="597"/>
      <c r="G4" s="597"/>
      <c r="H4" s="597"/>
      <c r="I4" s="597"/>
      <c r="J4" s="598"/>
      <c r="K4" s="595"/>
      <c r="L4" s="43"/>
      <c r="M4" s="43"/>
    </row>
    <row r="5" spans="1:13" s="21" customFormat="1" ht="15.75" x14ac:dyDescent="0.25">
      <c r="A5" s="43"/>
      <c r="B5" s="599" t="s">
        <v>1259</v>
      </c>
      <c r="C5" s="600"/>
      <c r="D5" s="600"/>
      <c r="E5" s="600"/>
      <c r="F5" s="600"/>
      <c r="G5" s="600"/>
      <c r="H5" s="600"/>
      <c r="I5" s="600"/>
      <c r="J5" s="601"/>
      <c r="K5" s="595"/>
      <c r="L5" s="43"/>
      <c r="M5" s="43"/>
    </row>
    <row r="6" spans="1:13" s="21" customFormat="1" ht="15" x14ac:dyDescent="0.25">
      <c r="A6" s="43"/>
      <c r="B6" s="602" t="s">
        <v>473</v>
      </c>
      <c r="C6" s="603"/>
      <c r="D6" s="603"/>
      <c r="E6" s="603"/>
      <c r="F6" s="603"/>
      <c r="G6" s="603"/>
      <c r="H6" s="603"/>
      <c r="I6" s="603"/>
      <c r="J6" s="604"/>
      <c r="K6" s="595"/>
      <c r="L6" s="43"/>
      <c r="M6" s="43"/>
    </row>
    <row r="7" spans="1:13" ht="15" x14ac:dyDescent="0.25">
      <c r="B7" s="605" t="s">
        <v>474</v>
      </c>
      <c r="C7" s="606"/>
      <c r="D7" s="606"/>
      <c r="E7" s="606"/>
      <c r="F7" s="606"/>
      <c r="G7" s="606"/>
      <c r="H7" s="606"/>
      <c r="I7" s="606"/>
      <c r="J7" s="607"/>
    </row>
    <row r="8" spans="1:13" ht="15" x14ac:dyDescent="0.25">
      <c r="B8" s="312"/>
      <c r="C8" s="313"/>
      <c r="D8" s="313"/>
      <c r="E8" s="606" t="s">
        <v>1272</v>
      </c>
      <c r="F8" s="606"/>
      <c r="G8" s="606"/>
      <c r="H8" s="606"/>
      <c r="I8" s="313"/>
      <c r="J8" s="314"/>
      <c r="K8" s="246"/>
    </row>
    <row r="9" spans="1:13" ht="18.75" thickBot="1" x14ac:dyDescent="0.3">
      <c r="B9" s="611" t="s">
        <v>117</v>
      </c>
      <c r="C9" s="612"/>
      <c r="D9" s="612"/>
      <c r="E9" s="612"/>
      <c r="F9" s="612"/>
      <c r="G9" s="612"/>
      <c r="H9" s="612"/>
      <c r="I9" s="612"/>
      <c r="J9" s="613"/>
    </row>
    <row r="10" spans="1:13" ht="22.5" customHeight="1" thickBot="1" x14ac:dyDescent="0.3">
      <c r="B10" s="91" t="s">
        <v>1</v>
      </c>
      <c r="C10" s="92" t="s">
        <v>459</v>
      </c>
      <c r="D10" s="92" t="s">
        <v>460</v>
      </c>
      <c r="E10" s="93" t="s">
        <v>2</v>
      </c>
      <c r="F10" s="94" t="s">
        <v>3</v>
      </c>
      <c r="G10" s="94" t="s">
        <v>43</v>
      </c>
      <c r="H10" s="95" t="s">
        <v>4</v>
      </c>
      <c r="I10" s="97" t="s">
        <v>5</v>
      </c>
      <c r="J10" s="96" t="s">
        <v>6</v>
      </c>
    </row>
    <row r="11" spans="1:13" s="65" customFormat="1" ht="24" customHeight="1" x14ac:dyDescent="0.25">
      <c r="B11" s="615" t="s">
        <v>34</v>
      </c>
      <c r="C11" s="616"/>
      <c r="D11" s="616"/>
      <c r="E11" s="616"/>
      <c r="F11" s="616"/>
      <c r="G11" s="616"/>
      <c r="H11" s="616"/>
      <c r="I11" s="616"/>
      <c r="J11" s="98">
        <f>SUM(J13:J33)</f>
        <v>24178.915634999994</v>
      </c>
      <c r="K11" s="89"/>
    </row>
    <row r="12" spans="1:13" ht="15" x14ac:dyDescent="0.25">
      <c r="B12" s="22">
        <v>1</v>
      </c>
      <c r="C12" s="614" t="s">
        <v>56</v>
      </c>
      <c r="D12" s="584"/>
      <c r="E12" s="584"/>
      <c r="F12" s="584"/>
      <c r="G12" s="584"/>
      <c r="H12" s="584"/>
      <c r="I12" s="584"/>
      <c r="J12" s="585"/>
    </row>
    <row r="13" spans="1:13" x14ac:dyDescent="0.25">
      <c r="B13" s="353" t="s">
        <v>11</v>
      </c>
      <c r="C13" s="300" t="s">
        <v>462</v>
      </c>
      <c r="D13" s="347">
        <f>VLOOKUP(B13,'MEMÓRIA DE CÁLCULO'!$B:$H,2,)</f>
        <v>20101</v>
      </c>
      <c r="E13" s="348" t="str">
        <f>VLOOKUP(B13,'MEMÓRIA DE CÁLCULO'!$B:$H,3,)</f>
        <v>DEMOLICAO COBERTURA TELHA CERAMICA C/ TRANSP. ATÉ CB. E CARGA</v>
      </c>
      <c r="F13" s="349" t="s">
        <v>24</v>
      </c>
      <c r="G13" s="350">
        <f>VLOOKUP(B13,'MEMÓRIA DE CÁLCULO'!$B:$H,7,)</f>
        <v>64.719200000000001</v>
      </c>
      <c r="H13" s="351">
        <v>0</v>
      </c>
      <c r="I13" s="351">
        <v>4.04</v>
      </c>
      <c r="J13" s="352">
        <f>(I13+H13)*G13</f>
        <v>261.46556800000002</v>
      </c>
      <c r="K13" s="271"/>
    </row>
    <row r="14" spans="1:13" x14ac:dyDescent="0.25">
      <c r="B14" s="125" t="s">
        <v>12</v>
      </c>
      <c r="C14" s="99" t="s">
        <v>462</v>
      </c>
      <c r="D14" s="177">
        <f>VLOOKUP(B14,'MEMÓRIA DE CÁLCULO'!$B:$H,2,)</f>
        <v>20102</v>
      </c>
      <c r="E14" s="182" t="str">
        <f>VLOOKUP(B14,'MEMÓRIA DE CÁLCULO'!$B:$H,3,)</f>
        <v>DEMOLICAO-COBERTURA TELHA FIBROCIMENTO/FIBRA DE VIDRO/SIMILARES C/ TRANSP. ATÉ CB. E CARGA</v>
      </c>
      <c r="F14" s="100" t="s">
        <v>24</v>
      </c>
      <c r="G14" s="104">
        <f>VLOOKUP(B14,'MEMÓRIA DE CÁLCULO'!$B:$H,7,)</f>
        <v>32.21</v>
      </c>
      <c r="H14" s="101">
        <v>0</v>
      </c>
      <c r="I14" s="101">
        <v>2.25</v>
      </c>
      <c r="J14" s="126">
        <f t="shared" ref="J14:J32" si="0">(I14+H14)*G14</f>
        <v>72.472499999999997</v>
      </c>
      <c r="K14" s="271"/>
    </row>
    <row r="15" spans="1:13" x14ac:dyDescent="0.25">
      <c r="B15" s="125" t="s">
        <v>13</v>
      </c>
      <c r="C15" s="99" t="s">
        <v>462</v>
      </c>
      <c r="D15" s="177">
        <f>VLOOKUP(B15,'MEMÓRIA DE CÁLCULO'!$B:$H,2,)</f>
        <v>20103</v>
      </c>
      <c r="E15" s="182" t="str">
        <f>VLOOKUP(B15,'MEMÓRIA DE CÁLCULO'!$B:$H,3,)</f>
        <v>DEMOLIÇÃO ESTRUTURA EM MADEIRA TELHADO C/ TRANSP. ATÉ CB. E CARGA</v>
      </c>
      <c r="F15" s="100" t="s">
        <v>24</v>
      </c>
      <c r="G15" s="104">
        <f>VLOOKUP(B15,'MEMÓRIA DE CÁLCULO'!$B:$H,7,)</f>
        <v>9.9749999999999996</v>
      </c>
      <c r="H15" s="101">
        <v>0</v>
      </c>
      <c r="I15" s="101">
        <v>11.69</v>
      </c>
      <c r="J15" s="126">
        <f t="shared" si="0"/>
        <v>116.60775</v>
      </c>
      <c r="K15" s="271"/>
    </row>
    <row r="16" spans="1:13" ht="15" customHeight="1" x14ac:dyDescent="0.25">
      <c r="B16" s="125" t="s">
        <v>14</v>
      </c>
      <c r="C16" s="99" t="s">
        <v>462</v>
      </c>
      <c r="D16" s="177">
        <f>VLOOKUP(B16,'MEMÓRIA DE CÁLCULO'!$B:$H,2,)</f>
        <v>20106</v>
      </c>
      <c r="E16" s="182" t="str">
        <f>VLOOKUP(B16,'MEMÓRIA DE CÁLCULO'!$B:$H,3,)</f>
        <v>REMOÇÃO MANUAL DE JANELA OU PORTAL C/ TRANSP. ATÉ CB. E CARGA</v>
      </c>
      <c r="F16" s="100" t="s">
        <v>24</v>
      </c>
      <c r="G16" s="104">
        <f>VLOOKUP(B16,'MEMÓRIA DE CÁLCULO'!$B:$H,7,)</f>
        <v>103.04000000000002</v>
      </c>
      <c r="H16" s="101">
        <v>0</v>
      </c>
      <c r="I16" s="101">
        <v>4.5</v>
      </c>
      <c r="J16" s="126">
        <f t="shared" si="0"/>
        <v>463.68000000000006</v>
      </c>
      <c r="K16" s="271"/>
    </row>
    <row r="17" spans="2:11" x14ac:dyDescent="0.25">
      <c r="B17" s="125" t="s">
        <v>15</v>
      </c>
      <c r="C17" s="99" t="s">
        <v>462</v>
      </c>
      <c r="D17" s="177">
        <f>VLOOKUP(B17,'MEMÓRIA DE CÁLCULO'!$B:$H,2,)</f>
        <v>20109</v>
      </c>
      <c r="E17" s="182" t="str">
        <f>VLOOKUP(B17,'MEMÓRIA DE CÁLCULO'!$B:$H,3,)</f>
        <v>DEMOLIÇÃO MANUAL DE PISO CIMENT.SOBRE LASTRO CONC.C/TR.ATE CB. E CARGA</v>
      </c>
      <c r="F17" s="100" t="s">
        <v>24</v>
      </c>
      <c r="G17" s="104">
        <f>VLOOKUP(B17,'MEMÓRIA DE CÁLCULO'!$B:$H,7,)</f>
        <v>987.36999999999989</v>
      </c>
      <c r="H17" s="101">
        <v>0</v>
      </c>
      <c r="I17" s="101">
        <v>10.220000000000001</v>
      </c>
      <c r="J17" s="126">
        <f t="shared" si="0"/>
        <v>10090.921399999999</v>
      </c>
      <c r="K17" s="271"/>
    </row>
    <row r="18" spans="2:11" x14ac:dyDescent="0.25">
      <c r="B18" s="125" t="s">
        <v>20</v>
      </c>
      <c r="C18" s="99" t="s">
        <v>462</v>
      </c>
      <c r="D18" s="177">
        <f>VLOOKUP(B18,'MEMÓRIA DE CÁLCULO'!$B:$H,2,)</f>
        <v>20111</v>
      </c>
      <c r="E18" s="182" t="str">
        <f>VLOOKUP(B18,'MEMÓRIA DE CÁLCULO'!$B:$H,3,)</f>
        <v>DEMOLIÇÃO MANUAL DE PISO CERÂMICO SOBRE LASTRO CONC.C/TR.CB e CARGA</v>
      </c>
      <c r="F18" s="100" t="s">
        <v>24</v>
      </c>
      <c r="G18" s="104">
        <f>VLOOKUP(B18,'MEMÓRIA DE CÁLCULO'!$B:$H,7,)</f>
        <v>554.30130000000008</v>
      </c>
      <c r="H18" s="101">
        <v>0</v>
      </c>
      <c r="I18" s="101">
        <v>6.29</v>
      </c>
      <c r="J18" s="126">
        <f t="shared" si="0"/>
        <v>3486.5551770000006</v>
      </c>
      <c r="K18" s="271"/>
    </row>
    <row r="19" spans="2:11" x14ac:dyDescent="0.25">
      <c r="B19" s="125" t="s">
        <v>46</v>
      </c>
      <c r="C19" s="99" t="s">
        <v>462</v>
      </c>
      <c r="D19" s="177">
        <f>VLOOKUP(B19,'MEMÓRIA DE CÁLCULO'!$B:$H,2,)</f>
        <v>20115</v>
      </c>
      <c r="E19" s="182" t="str">
        <f>VLOOKUP(B19,'MEMÓRIA DE CÁLCULO'!$B:$H,3,)</f>
        <v>DEMOLIÇÃO MANUAL DE REVESTIMENTOS COM AZULEJO C/TRANSP. ATE CB. E CARGA</v>
      </c>
      <c r="F19" s="100" t="s">
        <v>24</v>
      </c>
      <c r="G19" s="104">
        <f>VLOOKUP(B19,'MEMÓRIA DE CÁLCULO'!$B:$H,7,)</f>
        <v>313.36999999999989</v>
      </c>
      <c r="H19" s="101">
        <v>0</v>
      </c>
      <c r="I19" s="101">
        <v>2.81</v>
      </c>
      <c r="J19" s="126">
        <f t="shared" si="0"/>
        <v>880.56969999999967</v>
      </c>
      <c r="K19" s="271"/>
    </row>
    <row r="20" spans="2:11" x14ac:dyDescent="0.25">
      <c r="B20" s="125" t="s">
        <v>77</v>
      </c>
      <c r="C20" s="99" t="s">
        <v>462</v>
      </c>
      <c r="D20" s="177">
        <f>VLOOKUP(B20,'MEMÓRIA DE CÁLCULO'!$B:$H,2,)</f>
        <v>20117</v>
      </c>
      <c r="E20" s="182" t="str">
        <f>VLOOKUP(B20,'MEMÓRIA DE CÁLCULO'!$B:$H,3,)</f>
        <v>DEMOLIÇÃO MANUAL DE REVESTIMENTO C/ARGAMASSA C/TR.ATE CB.E CARGA</v>
      </c>
      <c r="F20" s="100" t="s">
        <v>24</v>
      </c>
      <c r="G20" s="104">
        <f>VLOOKUP(B20,'MEMÓRIA DE CÁLCULO'!$B:$H,7,)</f>
        <v>1081.3579999999999</v>
      </c>
      <c r="H20" s="101">
        <v>0</v>
      </c>
      <c r="I20" s="101">
        <v>3.65</v>
      </c>
      <c r="J20" s="126">
        <f t="shared" si="0"/>
        <v>3946.9566999999997</v>
      </c>
      <c r="K20" s="271"/>
    </row>
    <row r="21" spans="2:11" x14ac:dyDescent="0.25">
      <c r="B21" s="125" t="s">
        <v>113</v>
      </c>
      <c r="C21" s="99" t="s">
        <v>462</v>
      </c>
      <c r="D21" s="177">
        <f>VLOOKUP(B21,'MEMÓRIA DE CÁLCULO'!$B:$H,2,)</f>
        <v>20118</v>
      </c>
      <c r="E21" s="182" t="str">
        <f>VLOOKUP(B21,'MEMÓRIA DE CÁLCULO'!$B:$H,3,)</f>
        <v>DEMOLIÇÃO MANUAL ALVENARIA TIJOLO S/REAP. C/TR.ATE CB. E CARGA</v>
      </c>
      <c r="F21" s="100" t="s">
        <v>100</v>
      </c>
      <c r="G21" s="104">
        <f>VLOOKUP(B21,'MEMÓRIA DE CÁLCULO'!$B:$H,7,)</f>
        <v>35.117999999999995</v>
      </c>
      <c r="H21" s="101">
        <v>0</v>
      </c>
      <c r="I21" s="103">
        <v>28.09</v>
      </c>
      <c r="J21" s="126">
        <f t="shared" si="0"/>
        <v>986.46461999999985</v>
      </c>
      <c r="K21" s="271"/>
    </row>
    <row r="22" spans="2:11" x14ac:dyDescent="0.25">
      <c r="B22" s="125" t="s">
        <v>181</v>
      </c>
      <c r="C22" s="99" t="s">
        <v>462</v>
      </c>
      <c r="D22" s="177">
        <f>VLOOKUP(B22,'MEMÓRIA DE CÁLCULO'!$B:$H,2,)</f>
        <v>20135</v>
      </c>
      <c r="E22" s="182" t="str">
        <f>VLOOKUP(B22,'MEMÓRIA DE CÁLCULO'!$B:$H,3,)</f>
        <v>DEMOLIÇÃO MANUAL ESTRUT. EM METALON PARA FORRO DE GESSO C/TR.CB E CARGA</v>
      </c>
      <c r="F22" s="100" t="s">
        <v>24</v>
      </c>
      <c r="G22" s="104">
        <f>VLOOKUP(B22,'MEMÓRIA DE CÁLCULO'!$B:$H,7,)</f>
        <v>143.82</v>
      </c>
      <c r="H22" s="101">
        <v>0.13</v>
      </c>
      <c r="I22" s="101">
        <v>1.96</v>
      </c>
      <c r="J22" s="126">
        <f t="shared" si="0"/>
        <v>300.58379999999994</v>
      </c>
      <c r="K22" s="271"/>
    </row>
    <row r="23" spans="2:11" x14ac:dyDescent="0.25">
      <c r="B23" s="125" t="s">
        <v>184</v>
      </c>
      <c r="C23" s="99" t="s">
        <v>462</v>
      </c>
      <c r="D23" s="177">
        <f>VLOOKUP(B23,'MEMÓRIA DE CÁLCULO'!$B:$H,2,)</f>
        <v>20121</v>
      </c>
      <c r="E23" s="182" t="str">
        <f>VLOOKUP(B23,'MEMÓRIA DE CÁLCULO'!$B:$H,3,)</f>
        <v>DEMOLIÇÃO MANUAL EM CONCRETO SIMPLES C/TR.ATE CB.E CARGA (O.C)</v>
      </c>
      <c r="F23" s="100" t="s">
        <v>100</v>
      </c>
      <c r="G23" s="104">
        <f>VLOOKUP(B23,'MEMÓRIA DE CÁLCULO'!$B:$H,7,)</f>
        <v>15.600000000000001</v>
      </c>
      <c r="H23" s="101">
        <v>0</v>
      </c>
      <c r="I23" s="101">
        <v>116.87</v>
      </c>
      <c r="J23" s="126">
        <f t="shared" si="0"/>
        <v>1823.1720000000003</v>
      </c>
      <c r="K23" s="271"/>
    </row>
    <row r="24" spans="2:11" x14ac:dyDescent="0.25">
      <c r="B24" s="125" t="s">
        <v>187</v>
      </c>
      <c r="C24" s="99" t="s">
        <v>462</v>
      </c>
      <c r="D24" s="177">
        <f>VLOOKUP(B24,'MEMÓRIA DE CÁLCULO'!$B:$H,2,)</f>
        <v>20139</v>
      </c>
      <c r="E24" s="182" t="str">
        <f>VLOOKUP(B24,'MEMÓRIA DE CÁLCULO'!$B:$H,3,)</f>
        <v>DEMOLIÇÃO MANUAL DE BANCADA C/ TRANSP. ATÉ CB. E CARGA</v>
      </c>
      <c r="F24" s="100" t="s">
        <v>24</v>
      </c>
      <c r="G24" s="104">
        <f>VLOOKUP(B24,'MEMÓRIA DE CÁLCULO'!$B:$H,7,)</f>
        <v>6.3220000000000001</v>
      </c>
      <c r="H24" s="101">
        <v>0</v>
      </c>
      <c r="I24" s="101">
        <v>2.81</v>
      </c>
      <c r="J24" s="126">
        <f t="shared" si="0"/>
        <v>17.76482</v>
      </c>
      <c r="K24" s="271"/>
    </row>
    <row r="25" spans="2:11" ht="28.5" x14ac:dyDescent="0.25">
      <c r="B25" s="125" t="s">
        <v>191</v>
      </c>
      <c r="C25" s="99" t="s">
        <v>462</v>
      </c>
      <c r="D25" s="177">
        <f>VLOOKUP(B25,'MEMÓRIA DE CÁLCULO'!$B:$H,2,)</f>
        <v>20147</v>
      </c>
      <c r="E25" s="183" t="str">
        <f>VLOOKUP(B25,'MEMÓRIA DE CÁLCULO'!$B:$H,3,)</f>
        <v>DEMOLIÇÃO MANUAL DE FORRO PVC INCLUSIVE ESTRUTURA DE SUSTENTAÇÃO C/ TRANSP. ATÉ CB. E CARGA</v>
      </c>
      <c r="F25" s="100" t="s">
        <v>24</v>
      </c>
      <c r="G25" s="104">
        <f>VLOOKUP(B25,'MEMÓRIA DE CÁLCULO'!$B:$H,7,)</f>
        <v>211.72499999999997</v>
      </c>
      <c r="H25" s="101">
        <v>0</v>
      </c>
      <c r="I25" s="101">
        <v>3.26</v>
      </c>
      <c r="J25" s="126">
        <f t="shared" si="0"/>
        <v>690.22349999999983</v>
      </c>
      <c r="K25" s="271"/>
    </row>
    <row r="26" spans="2:11" x14ac:dyDescent="0.25">
      <c r="B26" s="125" t="s">
        <v>195</v>
      </c>
      <c r="C26" s="99" t="s">
        <v>462</v>
      </c>
      <c r="D26" s="177">
        <f>VLOOKUP(B26,'MEMÓRIA DE CÁLCULO'!$B:$H,2,)</f>
        <v>20151</v>
      </c>
      <c r="E26" s="182" t="str">
        <f>VLOOKUP(B26,'MEMÓRIA DE CÁLCULO'!$B:$H,3,)</f>
        <v>DEMOLIÇÃO MANUAL DE DIVISÓRIA EM PEDRA/CONC.C/TRANSP. ATÉ CB. CARGA</v>
      </c>
      <c r="F26" s="100" t="s">
        <v>24</v>
      </c>
      <c r="G26" s="104">
        <f>VLOOKUP(B26,'MEMÓRIA DE CÁLCULO'!$B:$H,7,)</f>
        <v>17.779999999999998</v>
      </c>
      <c r="H26" s="101">
        <v>0</v>
      </c>
      <c r="I26" s="101">
        <v>5.62</v>
      </c>
      <c r="J26" s="126">
        <f t="shared" si="0"/>
        <v>99.923599999999993</v>
      </c>
      <c r="K26" s="271"/>
    </row>
    <row r="27" spans="2:11" ht="28.5" x14ac:dyDescent="0.25">
      <c r="B27" s="125" t="s">
        <v>197</v>
      </c>
      <c r="C27" s="99" t="s">
        <v>462</v>
      </c>
      <c r="D27" s="177">
        <f>VLOOKUP(B27,'MEMÓRIA DE CÁLCULO'!$B:$H,2,)</f>
        <v>20164</v>
      </c>
      <c r="E27" s="183" t="str">
        <f>VLOOKUP(B27,'MEMÓRIA DE CÁLCULO'!$B:$H,3,)</f>
        <v>REMOÇÃO MANUAL DE TUBULAÇÃO (TUBO E CONEXÃO) C/ TRANSP. ATÉ CB. E CARGA (EXCLUSO RASGOS E ESCAVAÇÕES)</v>
      </c>
      <c r="F27" s="100" t="s">
        <v>29</v>
      </c>
      <c r="G27" s="104">
        <f>VLOOKUP(B27,'MEMÓRIA DE CÁLCULO'!$B:$H,7,)</f>
        <v>30</v>
      </c>
      <c r="H27" s="101">
        <v>0</v>
      </c>
      <c r="I27" s="101">
        <v>0.42</v>
      </c>
      <c r="J27" s="126">
        <f t="shared" si="0"/>
        <v>12.6</v>
      </c>
      <c r="K27" s="271"/>
    </row>
    <row r="28" spans="2:11" x14ac:dyDescent="0.25">
      <c r="B28" s="125" t="s">
        <v>461</v>
      </c>
      <c r="C28" s="99" t="s">
        <v>462</v>
      </c>
      <c r="D28" s="177">
        <f>VLOOKUP(B28,'MEMÓRIA DE CÁLCULO'!$B:$H,2,)</f>
        <v>20167</v>
      </c>
      <c r="E28" s="182" t="str">
        <f>VLOOKUP(B28,'MEMÓRIA DE CÁLCULO'!$B:$H,3,)</f>
        <v>REMOÇÃO MANUAL DE LUMINÁRIA C/ TRANSP. ATÉ CB. E CARGA</v>
      </c>
      <c r="F28" s="100" t="s">
        <v>340</v>
      </c>
      <c r="G28" s="104">
        <f>VLOOKUP(B28,'MEMÓRIA DE CÁLCULO'!$B:$H,7,)</f>
        <v>107</v>
      </c>
      <c r="H28" s="101">
        <v>0</v>
      </c>
      <c r="I28" s="101">
        <v>0.89</v>
      </c>
      <c r="J28" s="126">
        <f t="shared" si="0"/>
        <v>95.23</v>
      </c>
      <c r="K28" s="271"/>
    </row>
    <row r="29" spans="2:11" x14ac:dyDescent="0.25">
      <c r="B29" s="125" t="s">
        <v>722</v>
      </c>
      <c r="C29" s="99" t="s">
        <v>462</v>
      </c>
      <c r="D29" s="177">
        <f>VLOOKUP(B29,'MEMÓRIA DE CÁLCULO'!$B:$H,2,)</f>
        <v>20168</v>
      </c>
      <c r="E29" s="182" t="str">
        <f>VLOOKUP(B29,'MEMÓRIA DE CÁLCULO'!$B:$H,3,)</f>
        <v>REMOÇÃO MANUAL DE INTERRUPTOR/TOMADA ELÉTRICA/DISJUNTOR C/ TRANSP. ATÉ CB. E CARGA</v>
      </c>
      <c r="F29" s="100" t="s">
        <v>340</v>
      </c>
      <c r="G29" s="104">
        <f>VLOOKUP(B29,'MEMÓRIA DE CÁLCULO'!$B:$H,7,)</f>
        <v>53</v>
      </c>
      <c r="H29" s="101">
        <v>0</v>
      </c>
      <c r="I29" s="101">
        <v>0.69</v>
      </c>
      <c r="J29" s="126">
        <f t="shared" si="0"/>
        <v>36.57</v>
      </c>
      <c r="K29" s="271"/>
    </row>
    <row r="30" spans="2:11" ht="28.5" x14ac:dyDescent="0.25">
      <c r="B30" s="125" t="s">
        <v>738</v>
      </c>
      <c r="C30" s="99" t="s">
        <v>462</v>
      </c>
      <c r="D30" s="177">
        <f>VLOOKUP(B30,'MEMÓRIA DE CÁLCULO'!$B:$H,2,)</f>
        <v>20140</v>
      </c>
      <c r="E30" s="183" t="str">
        <f>VLOOKUP(B30,'MEMÓRIA DE CÁLCULO'!$B:$H,3,)</f>
        <v>REMOÇÃO MANUAL DE METAL SANITÁRIO (VÁLVULAS/SIFÃO/REGISTROS/TORNEIRAS/ OUTROS) C/ TRANSP. ATÉ CB. E CARGA</v>
      </c>
      <c r="F30" s="100" t="s">
        <v>340</v>
      </c>
      <c r="G30" s="104">
        <f>VLOOKUP(B30,'MEMÓRIA DE CÁLCULO'!$B:$H,7,)</f>
        <v>53</v>
      </c>
      <c r="H30" s="101">
        <v>0</v>
      </c>
      <c r="I30" s="101">
        <v>3.31</v>
      </c>
      <c r="J30" s="126">
        <f t="shared" si="0"/>
        <v>175.43</v>
      </c>
      <c r="K30" s="271"/>
    </row>
    <row r="31" spans="2:11" ht="28.5" x14ac:dyDescent="0.25">
      <c r="B31" s="125" t="s">
        <v>739</v>
      </c>
      <c r="C31" s="99" t="s">
        <v>462</v>
      </c>
      <c r="D31" s="177">
        <f>VLOOKUP(B31,'MEMÓRIA DE CÁLCULO'!$B:$H,2,)</f>
        <v>21301</v>
      </c>
      <c r="E31" s="183" t="str">
        <f>VLOOKUP(B31,'MEMÓRIA DE CÁLCULO'!$B:$H,3,)</f>
        <v>PLACA DE OBRA PLOTADA EM CHAPA METÁLICA 26 , AFIXADA EM CAVALETES DE MADEIRA DE LEI (VIGOTAS 6X12CM) - PADRÃO GOINFRA</v>
      </c>
      <c r="F31" s="100" t="s">
        <v>24</v>
      </c>
      <c r="G31" s="104">
        <f>VLOOKUP(B31,'MEMÓRIA DE CÁLCULO'!$B:$H,7,)</f>
        <v>3</v>
      </c>
      <c r="H31" s="101">
        <v>171.97</v>
      </c>
      <c r="I31" s="101">
        <v>2.02</v>
      </c>
      <c r="J31" s="126">
        <f t="shared" si="0"/>
        <v>521.97</v>
      </c>
      <c r="K31" s="271"/>
    </row>
    <row r="32" spans="2:11" x14ac:dyDescent="0.25">
      <c r="B32" s="125" t="s">
        <v>740</v>
      </c>
      <c r="C32" s="99" t="s">
        <v>462</v>
      </c>
      <c r="D32" s="177">
        <f>VLOOKUP(B32,'MEMÓRIA DE CÁLCULO'!$B:$H,2,)</f>
        <v>20157</v>
      </c>
      <c r="E32" s="182" t="str">
        <f>VLOOKUP(B32,'MEMÓRIA DE CÁLCULO'!$B:$H,3,)</f>
        <v>DEMOLIÇÃO MANUAL DE CALHA/RUFO EM CHAPA C/TR.ATÉ CB. E CARGA</v>
      </c>
      <c r="F32" s="100" t="s">
        <v>24</v>
      </c>
      <c r="G32" s="104">
        <f>VLOOKUP(B32,'MEMÓRIA DE CÁLCULO'!$B:$H,7,)</f>
        <v>24.524999999999999</v>
      </c>
      <c r="H32" s="101">
        <v>0</v>
      </c>
      <c r="I32" s="101">
        <v>3.38</v>
      </c>
      <c r="J32" s="126">
        <f t="shared" si="0"/>
        <v>82.894499999999994</v>
      </c>
      <c r="K32" s="271"/>
    </row>
    <row r="33" spans="2:11" x14ac:dyDescent="0.25">
      <c r="B33" s="125" t="s">
        <v>1232</v>
      </c>
      <c r="C33" s="99" t="s">
        <v>462</v>
      </c>
      <c r="D33" s="177">
        <f>VLOOKUP(B33,'MEMÓRIA DE CÁLCULO'!$B:$H,2,)</f>
        <v>20137</v>
      </c>
      <c r="E33" s="182" t="str">
        <f>VLOOKUP(B33,'MEMÓRIA DE CÁLCULO'!$B:$H,3,)</f>
        <v>REMOÇÃO MANUAL DE BACIA SANITÁRIA C/ TRANSP. ATÉ CB. E CARGA</v>
      </c>
      <c r="F33" s="100" t="s">
        <v>340</v>
      </c>
      <c r="G33" s="104">
        <f>VLOOKUP(B33,'MEMÓRIA DE CÁLCULO'!$B:$H,7,)</f>
        <v>6</v>
      </c>
      <c r="H33" s="101">
        <v>0</v>
      </c>
      <c r="I33" s="101">
        <v>2.81</v>
      </c>
      <c r="J33" s="126">
        <f t="shared" ref="J33" si="1">(I33+H33)*G33</f>
        <v>16.86</v>
      </c>
      <c r="K33" s="271"/>
    </row>
    <row r="34" spans="2:11" x14ac:dyDescent="0.25">
      <c r="B34" s="29"/>
      <c r="C34" s="319"/>
      <c r="D34" s="247"/>
      <c r="E34" s="248"/>
      <c r="F34" s="13"/>
      <c r="G34" s="220"/>
      <c r="H34" s="249"/>
      <c r="I34" s="249"/>
      <c r="J34" s="250"/>
      <c r="K34" s="271"/>
    </row>
    <row r="35" spans="2:11" ht="15" x14ac:dyDescent="0.25">
      <c r="B35" s="617" t="s">
        <v>40</v>
      </c>
      <c r="C35" s="618"/>
      <c r="D35" s="618"/>
      <c r="E35" s="618"/>
      <c r="F35" s="618"/>
      <c r="G35" s="618"/>
      <c r="H35" s="618"/>
      <c r="I35" s="619"/>
      <c r="J35" s="90">
        <f>SUM(J37:J38)</f>
        <v>6952.2571170000001</v>
      </c>
      <c r="K35" s="271"/>
    </row>
    <row r="36" spans="2:11" ht="15" x14ac:dyDescent="0.25">
      <c r="B36" s="22">
        <v>2</v>
      </c>
      <c r="C36" s="591" t="s">
        <v>57</v>
      </c>
      <c r="D36" s="591"/>
      <c r="E36" s="591"/>
      <c r="F36" s="591"/>
      <c r="G36" s="591"/>
      <c r="H36" s="591"/>
      <c r="I36" s="591"/>
      <c r="J36" s="592"/>
      <c r="K36" s="271"/>
    </row>
    <row r="37" spans="2:11" x14ac:dyDescent="0.25">
      <c r="B37" s="354" t="s">
        <v>17</v>
      </c>
      <c r="C37" s="355" t="s">
        <v>462</v>
      </c>
      <c r="D37" s="301">
        <f>VLOOKUP($B$37,'MEMÓRIA DE CÁLCULO'!$B:$H,2,)</f>
        <v>30104</v>
      </c>
      <c r="E37" s="356" t="str">
        <f>VLOOKUP($B$37,'MEMÓRIA DE CÁLCULO'!$B:$H,3,)</f>
        <v>TRANSPORTE DE ENTULHO CAÇAMBA ESTACIONÁRIA SEM CARGA (EMPOLAMENTO 30%)</v>
      </c>
      <c r="F37" s="303" t="s">
        <v>100</v>
      </c>
      <c r="G37" s="350">
        <f>VLOOKUP(B37,'MEMÓRIA DE CÁLCULO'!B:H,7,)</f>
        <v>125.10809999999999</v>
      </c>
      <c r="H37" s="357">
        <v>55.57</v>
      </c>
      <c r="I37" s="357">
        <v>0</v>
      </c>
      <c r="J37" s="358">
        <f>(I37+H37)*G37</f>
        <v>6952.2571170000001</v>
      </c>
      <c r="K37" s="271"/>
    </row>
    <row r="38" spans="2:11" x14ac:dyDescent="0.25">
      <c r="B38" s="608"/>
      <c r="C38" s="609"/>
      <c r="D38" s="609"/>
      <c r="E38" s="609"/>
      <c r="F38" s="609"/>
      <c r="G38" s="609"/>
      <c r="H38" s="609"/>
      <c r="I38" s="609"/>
      <c r="J38" s="610"/>
      <c r="K38" s="271"/>
    </row>
    <row r="39" spans="2:11" ht="15" x14ac:dyDescent="0.25">
      <c r="B39" s="586" t="s">
        <v>41</v>
      </c>
      <c r="C39" s="587"/>
      <c r="D39" s="587"/>
      <c r="E39" s="587"/>
      <c r="F39" s="587"/>
      <c r="G39" s="587"/>
      <c r="H39" s="587"/>
      <c r="I39" s="588"/>
      <c r="J39" s="51">
        <f>SUM(J41:J43)</f>
        <v>8.2305600000000005</v>
      </c>
      <c r="K39" s="271"/>
    </row>
    <row r="40" spans="2:11" ht="15" x14ac:dyDescent="0.25">
      <c r="B40" s="22">
        <v>3</v>
      </c>
      <c r="C40" s="591" t="s">
        <v>58</v>
      </c>
      <c r="D40" s="591"/>
      <c r="E40" s="591"/>
      <c r="F40" s="591"/>
      <c r="G40" s="591"/>
      <c r="H40" s="591"/>
      <c r="I40" s="591"/>
      <c r="J40" s="592"/>
      <c r="K40" s="271"/>
    </row>
    <row r="41" spans="2:11" x14ac:dyDescent="0.25">
      <c r="B41" s="353" t="s">
        <v>18</v>
      </c>
      <c r="C41" s="300" t="s">
        <v>462</v>
      </c>
      <c r="D41" s="359">
        <f>VLOOKUP(B41,'MEMÓRIA DE CÁLCULO'!B:H,2,)</f>
        <v>40103</v>
      </c>
      <c r="E41" s="302" t="str">
        <f>VLOOKUP(B41,'MEMÓRIA DE CÁLCULO'!B:H,3,)</f>
        <v>ESCAVAÇAO MANUAL DE VALAS PROF.1 A 2 M</v>
      </c>
      <c r="F41" s="349" t="s">
        <v>100</v>
      </c>
      <c r="G41" s="350">
        <f>VLOOKUP(B41,'MEMÓRIA DE CÁLCULO'!B:H,7,)</f>
        <v>0.248</v>
      </c>
      <c r="H41" s="357">
        <v>0</v>
      </c>
      <c r="I41" s="357">
        <v>31.32</v>
      </c>
      <c r="J41" s="358">
        <f>(I41+H41)*G41</f>
        <v>7.76736</v>
      </c>
      <c r="K41" s="271"/>
    </row>
    <row r="42" spans="2:11" x14ac:dyDescent="0.25">
      <c r="B42" s="125" t="s">
        <v>28</v>
      </c>
      <c r="C42" s="99" t="s">
        <v>462</v>
      </c>
      <c r="D42" s="184">
        <f>VLOOKUP(B42,'MEMÓRIA DE CÁLCULO'!B:H,2,)</f>
        <v>41002</v>
      </c>
      <c r="E42" s="102" t="str">
        <f>VLOOKUP(B42,'MEMÓRIA DE CÁLCULO'!B:H,3,)</f>
        <v xml:space="preserve">APILOAMENTO </v>
      </c>
      <c r="F42" s="100" t="s">
        <v>100</v>
      </c>
      <c r="G42" s="104">
        <f>VLOOKUP(B42,'MEMÓRIA DE CÁLCULO'!B:H,7,)</f>
        <v>0.12</v>
      </c>
      <c r="H42" s="107">
        <v>0</v>
      </c>
      <c r="I42" s="107">
        <v>3.86</v>
      </c>
      <c r="J42" s="128">
        <f>(I42+H42)*G42</f>
        <v>0.46319999999999995</v>
      </c>
      <c r="K42" s="271"/>
    </row>
    <row r="43" spans="2:11" x14ac:dyDescent="0.25">
      <c r="B43" s="608"/>
      <c r="C43" s="609"/>
      <c r="D43" s="609"/>
      <c r="E43" s="609"/>
      <c r="F43" s="609"/>
      <c r="G43" s="609"/>
      <c r="H43" s="609"/>
      <c r="I43" s="609"/>
      <c r="J43" s="610"/>
      <c r="K43" s="271"/>
    </row>
    <row r="44" spans="2:11" ht="15" x14ac:dyDescent="0.25">
      <c r="B44" s="586" t="s">
        <v>42</v>
      </c>
      <c r="C44" s="587"/>
      <c r="D44" s="587"/>
      <c r="E44" s="587"/>
      <c r="F44" s="587"/>
      <c r="G44" s="587"/>
      <c r="H44" s="587"/>
      <c r="I44" s="588"/>
      <c r="J44" s="51">
        <f>SUM(J46:J52)</f>
        <v>865.31898000000024</v>
      </c>
      <c r="K44" s="271"/>
    </row>
    <row r="45" spans="2:11" ht="15" x14ac:dyDescent="0.25">
      <c r="B45" s="22">
        <v>4</v>
      </c>
      <c r="C45" s="584" t="s">
        <v>59</v>
      </c>
      <c r="D45" s="584"/>
      <c r="E45" s="584"/>
      <c r="F45" s="584"/>
      <c r="G45" s="584"/>
      <c r="H45" s="584"/>
      <c r="I45" s="584"/>
      <c r="J45" s="585"/>
      <c r="K45" s="271"/>
    </row>
    <row r="46" spans="2:11" x14ac:dyDescent="0.25">
      <c r="B46" s="353" t="s">
        <v>19</v>
      </c>
      <c r="C46" s="300" t="s">
        <v>462</v>
      </c>
      <c r="D46" s="360">
        <f>VLOOKUP(B46,'MEMÓRIA DE CÁLCULO'!B:H,2,)</f>
        <v>50901</v>
      </c>
      <c r="E46" s="302" t="str">
        <f>VLOOKUP(B46,'MEMÓRIA DE CÁLCULO'!$B:$H,3,)</f>
        <v>ESCAVACAO MANUAL DE VALAS (SAPATAS/BLOCOS)</v>
      </c>
      <c r="F46" s="349" t="s">
        <v>100</v>
      </c>
      <c r="G46" s="350">
        <f>VLOOKUP(B46,'MEMÓRIA DE CÁLCULO'!$B:$H,7,)</f>
        <v>0.248</v>
      </c>
      <c r="H46" s="361">
        <v>0</v>
      </c>
      <c r="I46" s="361">
        <v>31.32</v>
      </c>
      <c r="J46" s="358">
        <f>(I46+H46)*G46</f>
        <v>7.76736</v>
      </c>
      <c r="K46" s="271"/>
    </row>
    <row r="47" spans="2:11" x14ac:dyDescent="0.25">
      <c r="B47" s="129" t="s">
        <v>98</v>
      </c>
      <c r="C47" s="99" t="s">
        <v>462</v>
      </c>
      <c r="D47" s="185">
        <f>VLOOKUP(B47,'MEMÓRIA DE CÁLCULO'!B:H,2,)</f>
        <v>51024</v>
      </c>
      <c r="E47" s="102" t="str">
        <f>VLOOKUP(B47,'MEMÓRIA DE CÁLCULO'!$B:$H,3,)</f>
        <v>PREPARO COM BETONEIRA E TRANSPORTE MANUAL DE CONCRETO PARA LASTRO - (O.C.)</v>
      </c>
      <c r="F47" s="100" t="s">
        <v>100</v>
      </c>
      <c r="G47" s="186">
        <f>VLOOKUP(B47,'MEMÓRIA DE CÁLCULO'!$B:$H,7,)</f>
        <v>6.0000000000000001E-3</v>
      </c>
      <c r="H47" s="109">
        <v>280.24</v>
      </c>
      <c r="I47" s="109">
        <v>57.19</v>
      </c>
      <c r="J47" s="128">
        <f t="shared" ref="J47:J52" si="2">(I47+H47)*G47</f>
        <v>2.0245800000000003</v>
      </c>
      <c r="K47" s="271"/>
    </row>
    <row r="48" spans="2:11" x14ac:dyDescent="0.25">
      <c r="B48" s="129" t="s">
        <v>101</v>
      </c>
      <c r="C48" s="99" t="s">
        <v>462</v>
      </c>
      <c r="D48" s="185">
        <f>VLOOKUP(B48,'MEMÓRIA DE CÁLCULO'!B:H,2,)</f>
        <v>52004</v>
      </c>
      <c r="E48" s="102" t="str">
        <f>VLOOKUP(B48,'MEMÓRIA DE CÁLCULO'!$B:$H,3,)</f>
        <v>ACO CA 50-A - 8,0 MM (5/16") - (OBRAS CIVIS)</v>
      </c>
      <c r="F48" s="100" t="s">
        <v>95</v>
      </c>
      <c r="G48" s="104">
        <f>VLOOKUP(B48,'MEMÓRIA DE CÁLCULO'!$B:$H,7,)</f>
        <v>2.4000000000000004</v>
      </c>
      <c r="H48" s="109">
        <v>12.82</v>
      </c>
      <c r="I48" s="109">
        <v>2.0499999999999998</v>
      </c>
      <c r="J48" s="128">
        <f t="shared" si="2"/>
        <v>35.688000000000009</v>
      </c>
      <c r="K48" s="271"/>
    </row>
    <row r="49" spans="2:11" x14ac:dyDescent="0.25">
      <c r="B49" s="129" t="s">
        <v>102</v>
      </c>
      <c r="C49" s="99" t="s">
        <v>462</v>
      </c>
      <c r="D49" s="185">
        <f>VLOOKUP(B49,'MEMÓRIA DE CÁLCULO'!B:H,2,)</f>
        <v>51032</v>
      </c>
      <c r="E49" s="102" t="str">
        <f>VLOOKUP(B49,'MEMÓRIA DE CÁLCULO'!$B:$H,3,)</f>
        <v>CONCRETO USINADO CONVENCIONAL FCK=25 MPA COM TRANSPORTE MANUAL (O.C.)</v>
      </c>
      <c r="F49" s="100" t="s">
        <v>100</v>
      </c>
      <c r="G49" s="104">
        <f>VLOOKUP(B49,'MEMÓRIA DE CÁLCULO'!$B:$H,7,)</f>
        <v>0.24</v>
      </c>
      <c r="H49" s="109">
        <v>319.93</v>
      </c>
      <c r="I49" s="109">
        <v>24.87</v>
      </c>
      <c r="J49" s="128">
        <f t="shared" si="2"/>
        <v>82.751999999999995</v>
      </c>
      <c r="K49" s="271"/>
    </row>
    <row r="50" spans="2:11" x14ac:dyDescent="0.25">
      <c r="B50" s="129" t="s">
        <v>103</v>
      </c>
      <c r="C50" s="99" t="s">
        <v>462</v>
      </c>
      <c r="D50" s="185">
        <f>VLOOKUP(B50,'MEMÓRIA DE CÁLCULO'!B:H,2,)</f>
        <v>51009</v>
      </c>
      <c r="E50" s="102" t="str">
        <f>VLOOKUP(B50,'MEMÓRIA DE CÁLCULO'!$B:$H,3,)</f>
        <v>FORMA TABUA PINHO P/FUNDACOES U=3V - (OBRAS CIVIS)</v>
      </c>
      <c r="F50" s="100" t="s">
        <v>24</v>
      </c>
      <c r="G50" s="104">
        <f>VLOOKUP(B50,'MEMÓRIA DE CÁLCULO'!$B:$H,7,)</f>
        <v>6.4</v>
      </c>
      <c r="H50" s="109">
        <v>22.66</v>
      </c>
      <c r="I50" s="109">
        <v>33.29</v>
      </c>
      <c r="J50" s="128">
        <f t="shared" si="2"/>
        <v>358.08000000000004</v>
      </c>
      <c r="K50" s="271"/>
    </row>
    <row r="51" spans="2:11" x14ac:dyDescent="0.25">
      <c r="B51" s="129" t="s">
        <v>104</v>
      </c>
      <c r="C51" s="99" t="s">
        <v>462</v>
      </c>
      <c r="D51" s="185">
        <f>VLOOKUP(B51,'MEMÓRIA DE CÁLCULO'!B:H,2,)</f>
        <v>52004</v>
      </c>
      <c r="E51" s="102" t="str">
        <f>VLOOKUP(B51,'MEMÓRIA DE CÁLCULO'!$B:$H,3,)</f>
        <v>ACO CA 50-A - 8,0 MM (5/16") - (OBRAS CIVIS)</v>
      </c>
      <c r="F51" s="100" t="s">
        <v>95</v>
      </c>
      <c r="G51" s="104">
        <f>VLOOKUP(B51,'MEMÓRIA DE CÁLCULO'!$B:$H,7,)</f>
        <v>19.552000000000003</v>
      </c>
      <c r="H51" s="109">
        <v>12.82</v>
      </c>
      <c r="I51" s="109">
        <v>2.0499999999999998</v>
      </c>
      <c r="J51" s="128">
        <f t="shared" si="2"/>
        <v>290.73824000000008</v>
      </c>
      <c r="K51" s="271"/>
    </row>
    <row r="52" spans="2:11" x14ac:dyDescent="0.25">
      <c r="B52" s="129" t="s">
        <v>741</v>
      </c>
      <c r="C52" s="99" t="s">
        <v>462</v>
      </c>
      <c r="D52" s="185">
        <f>VLOOKUP(B52,'MEMÓRIA DE CÁLCULO'!B:H,2,)</f>
        <v>51032</v>
      </c>
      <c r="E52" s="102" t="str">
        <f>VLOOKUP(B52,'MEMÓRIA DE CÁLCULO'!$B:$H,3,)</f>
        <v>CONCRETO USINADO CONVENCIONAL FCK=25 MPA COM TRANSPORTE MANUAL (O.C.)</v>
      </c>
      <c r="F52" s="100" t="s">
        <v>100</v>
      </c>
      <c r="G52" s="104">
        <f>VLOOKUP(B52,'MEMÓRIA DE CÁLCULO'!$B:$H,7,)</f>
        <v>0.25600000000000006</v>
      </c>
      <c r="H52" s="109">
        <v>319.93</v>
      </c>
      <c r="I52" s="109">
        <v>24.87</v>
      </c>
      <c r="J52" s="128">
        <f t="shared" si="2"/>
        <v>88.268800000000027</v>
      </c>
      <c r="K52" s="271"/>
    </row>
    <row r="53" spans="2:11" x14ac:dyDescent="0.25">
      <c r="B53" s="315"/>
      <c r="C53" s="316"/>
      <c r="D53" s="219"/>
      <c r="E53" s="174"/>
      <c r="F53" s="13"/>
      <c r="G53" s="220"/>
      <c r="H53" s="187"/>
      <c r="I53" s="187"/>
      <c r="J53" s="221"/>
      <c r="K53" s="271"/>
    </row>
    <row r="54" spans="2:11" ht="15" x14ac:dyDescent="0.25">
      <c r="B54" s="586" t="s">
        <v>44</v>
      </c>
      <c r="C54" s="587"/>
      <c r="D54" s="587"/>
      <c r="E54" s="587"/>
      <c r="F54" s="587"/>
      <c r="G54" s="587"/>
      <c r="H54" s="587"/>
      <c r="I54" s="588"/>
      <c r="J54" s="51">
        <f>SUM(J56:J62)</f>
        <v>2503.4694645000004</v>
      </c>
      <c r="K54" s="271"/>
    </row>
    <row r="55" spans="2:11" ht="15" x14ac:dyDescent="0.25">
      <c r="B55" s="22">
        <v>5</v>
      </c>
      <c r="C55" s="584" t="s">
        <v>62</v>
      </c>
      <c r="D55" s="584"/>
      <c r="E55" s="584"/>
      <c r="F55" s="584"/>
      <c r="G55" s="584"/>
      <c r="H55" s="584"/>
      <c r="I55" s="584"/>
      <c r="J55" s="585"/>
      <c r="K55" s="271"/>
    </row>
    <row r="56" spans="2:11" x14ac:dyDescent="0.25">
      <c r="B56" s="299" t="s">
        <v>105</v>
      </c>
      <c r="C56" s="300" t="s">
        <v>462</v>
      </c>
      <c r="D56" s="300">
        <f>VLOOKUP(B56,'MEMÓRIA DE CÁLCULO'!$B:$H,2,)</f>
        <v>67022</v>
      </c>
      <c r="E56" s="362" t="str">
        <f>VLOOKUP(B56,'MEMÓRIA DE CÁLCULO'!$B:$H,3,)</f>
        <v>LIMPEZA DO SUBSTRATO COM APLICAÇÃO DE JATO DE ÁGUA FRIA</v>
      </c>
      <c r="F56" s="349" t="s">
        <v>24</v>
      </c>
      <c r="G56" s="363">
        <f>VLOOKUP(B56,'MEMÓRIA DE CÁLCULO'!B:H,7,)</f>
        <v>186.65940000000001</v>
      </c>
      <c r="H56" s="364">
        <v>0.01</v>
      </c>
      <c r="I56" s="364">
        <v>1.06</v>
      </c>
      <c r="J56" s="358">
        <f>(H56+I56)*G56</f>
        <v>199.72555800000001</v>
      </c>
      <c r="K56" s="271"/>
    </row>
    <row r="57" spans="2:11" x14ac:dyDescent="0.25">
      <c r="B57" s="129" t="s">
        <v>1142</v>
      </c>
      <c r="C57" s="99" t="s">
        <v>462</v>
      </c>
      <c r="D57" s="99">
        <f>VLOOKUP(B57,'MEMÓRIA DE CÁLCULO'!$B:$H,2,)</f>
        <v>60191</v>
      </c>
      <c r="E57" s="188" t="str">
        <f>VLOOKUP(B57,'MEMÓRIA DE CÁLCULO'!$B:$H,3,)</f>
        <v>FORMA DE TABUA CINTA BALDRAME U=8 VEZES</v>
      </c>
      <c r="F57" s="100" t="s">
        <v>24</v>
      </c>
      <c r="G57" s="111">
        <f>VLOOKUP(B57,'MEMÓRIA DE CÁLCULO'!B:H,7,)</f>
        <v>1.25</v>
      </c>
      <c r="H57" s="109">
        <v>16.09</v>
      </c>
      <c r="I57" s="109">
        <v>7.79</v>
      </c>
      <c r="J57" s="128">
        <f t="shared" ref="J57:J62" si="3">(H57+I57)*G57</f>
        <v>29.849999999999998</v>
      </c>
      <c r="K57" s="271"/>
    </row>
    <row r="58" spans="2:11" x14ac:dyDescent="0.25">
      <c r="B58" s="129" t="s">
        <v>1143</v>
      </c>
      <c r="C58" s="99" t="s">
        <v>462</v>
      </c>
      <c r="D58" s="99">
        <f>VLOOKUP(B58,'MEMÓRIA DE CÁLCULO'!$B:$H,2,)</f>
        <v>60305</v>
      </c>
      <c r="E58" s="188" t="str">
        <f>VLOOKUP(B58,'MEMÓRIA DE CÁLCULO'!$B:$H,3,)</f>
        <v>ACO CA-50A - 10,0 MM (3/8") - (OBRAS CIVIS)</v>
      </c>
      <c r="F58" s="100" t="s">
        <v>95</v>
      </c>
      <c r="G58" s="111">
        <f>VLOOKUP(B58,'MEMÓRIA DE CÁLCULO'!B:H,7,)</f>
        <v>77.716800000000006</v>
      </c>
      <c r="H58" s="109">
        <v>12.59</v>
      </c>
      <c r="I58" s="109">
        <v>2.0499999999999998</v>
      </c>
      <c r="J58" s="128">
        <f t="shared" si="3"/>
        <v>1137.7739520000002</v>
      </c>
      <c r="K58" s="271"/>
    </row>
    <row r="59" spans="2:11" x14ac:dyDescent="0.25">
      <c r="B59" s="129" t="s">
        <v>1144</v>
      </c>
      <c r="C59" s="99" t="s">
        <v>462</v>
      </c>
      <c r="D59" s="99">
        <f>VLOOKUP(B59,'MEMÓRIA DE CÁLCULO'!$B:$H,2,)</f>
        <v>60314</v>
      </c>
      <c r="E59" s="188" t="str">
        <f>VLOOKUP(B59,'MEMÓRIA DE CÁLCULO'!$B:$H,3,)</f>
        <v>ACO CA - 60 - 5,0 MM - (OBRAS CIVIS)</v>
      </c>
      <c r="F59" s="100" t="s">
        <v>95</v>
      </c>
      <c r="G59" s="111">
        <f>VLOOKUP(B59,'MEMÓRIA DE CÁLCULO'!B:H,7,)</f>
        <v>27.993600000000004</v>
      </c>
      <c r="H59" s="109">
        <v>15.98</v>
      </c>
      <c r="I59" s="109">
        <v>1.79</v>
      </c>
      <c r="J59" s="128">
        <f t="shared" si="3"/>
        <v>497.44627200000008</v>
      </c>
      <c r="K59" s="271"/>
    </row>
    <row r="60" spans="2:11" x14ac:dyDescent="0.25">
      <c r="B60" s="129" t="s">
        <v>1145</v>
      </c>
      <c r="C60" s="99" t="s">
        <v>462</v>
      </c>
      <c r="D60" s="99">
        <f>VLOOKUP(B60,'MEMÓRIA DE CÁLCULO'!$B:$H,2,)</f>
        <v>60517</v>
      </c>
      <c r="E60" s="188" t="str">
        <f>VLOOKUP(B60,'MEMÓRIA DE CÁLCULO'!$B:$H,3,)</f>
        <v>PREPARO COM BETONEIRA E TRANSPORTE MANUAL DE CONCRETO FCK=25 MPA</v>
      </c>
      <c r="F60" s="100" t="s">
        <v>100</v>
      </c>
      <c r="G60" s="111">
        <f>VLOOKUP(B60,'MEMÓRIA DE CÁLCULO'!B:H,7,)</f>
        <v>1.00335</v>
      </c>
      <c r="H60" s="109">
        <v>334.03</v>
      </c>
      <c r="I60" s="109">
        <v>57.19</v>
      </c>
      <c r="J60" s="128">
        <f t="shared" si="3"/>
        <v>392.53058699999997</v>
      </c>
      <c r="K60" s="271"/>
    </row>
    <row r="61" spans="2:11" x14ac:dyDescent="0.25">
      <c r="B61" s="129" t="s">
        <v>1146</v>
      </c>
      <c r="C61" s="99" t="s">
        <v>462</v>
      </c>
      <c r="D61" s="99">
        <f>VLOOKUP(B61,'MEMÓRIA DE CÁLCULO'!$B:$H,2,)</f>
        <v>60801</v>
      </c>
      <c r="E61" s="188" t="str">
        <f>VLOOKUP(B61,'MEMÓRIA DE CÁLCULO'!$B:$H,3,)</f>
        <v>LANÇAMENTO/APLICAÇÃO/ADENSAMENTO MANUAL DE CONCRETO - (OBRAS CIVIS)</v>
      </c>
      <c r="F61" s="100" t="s">
        <v>24</v>
      </c>
      <c r="G61" s="111">
        <f>VLOOKUP(B61,'MEMÓRIA DE CÁLCULO'!B:H,7,)</f>
        <v>1.00335</v>
      </c>
      <c r="H61" s="109">
        <v>0</v>
      </c>
      <c r="I61" s="109">
        <v>34.729999999999997</v>
      </c>
      <c r="J61" s="128">
        <f t="shared" si="3"/>
        <v>34.846345499999998</v>
      </c>
      <c r="K61" s="271"/>
    </row>
    <row r="62" spans="2:11" x14ac:dyDescent="0.25">
      <c r="B62" s="129" t="s">
        <v>1147</v>
      </c>
      <c r="C62" s="99" t="s">
        <v>462</v>
      </c>
      <c r="D62" s="99">
        <f>VLOOKUP(B62,'MEMÓRIA DE CÁLCULO'!$B:$H,2,)</f>
        <v>60209</v>
      </c>
      <c r="E62" s="188" t="str">
        <f>VLOOKUP(B62,'MEMÓRIA DE CÁLCULO'!$B:$H,3,)</f>
        <v>FORMA CH.COMPENSADA 12MM-VIGA/PILAR U=4V - (OBRAS CIVIS</v>
      </c>
      <c r="F62" s="100" t="s">
        <v>24</v>
      </c>
      <c r="G62" s="111">
        <f>VLOOKUP(B62,'MEMÓRIA DE CÁLCULO'!B:H,7,)</f>
        <v>3.6150000000000002</v>
      </c>
      <c r="H62" s="109">
        <v>25.32</v>
      </c>
      <c r="I62" s="109">
        <v>33.130000000000003</v>
      </c>
      <c r="J62" s="128">
        <f t="shared" si="3"/>
        <v>211.29675000000003</v>
      </c>
      <c r="K62" s="271"/>
    </row>
    <row r="63" spans="2:11" x14ac:dyDescent="0.25">
      <c r="B63" s="214"/>
      <c r="C63" s="319"/>
      <c r="D63" s="319"/>
      <c r="E63" s="230"/>
      <c r="F63" s="13"/>
      <c r="G63" s="227"/>
      <c r="H63" s="231"/>
      <c r="I63" s="231"/>
      <c r="J63" s="218"/>
      <c r="K63" s="271"/>
    </row>
    <row r="64" spans="2:11" ht="15" x14ac:dyDescent="0.25">
      <c r="B64" s="586" t="s">
        <v>45</v>
      </c>
      <c r="C64" s="587"/>
      <c r="D64" s="587"/>
      <c r="E64" s="587"/>
      <c r="F64" s="587"/>
      <c r="G64" s="587"/>
      <c r="H64" s="587"/>
      <c r="I64" s="588"/>
      <c r="J64" s="51">
        <f>SUM(J66:J114)</f>
        <v>79483.45</v>
      </c>
      <c r="K64" s="271"/>
    </row>
    <row r="65" spans="2:11" ht="15" x14ac:dyDescent="0.25">
      <c r="B65" s="22">
        <v>6</v>
      </c>
      <c r="C65" s="584" t="s">
        <v>60</v>
      </c>
      <c r="D65" s="584"/>
      <c r="E65" s="584"/>
      <c r="F65" s="584"/>
      <c r="G65" s="584"/>
      <c r="H65" s="584"/>
      <c r="I65" s="584"/>
      <c r="J65" s="585"/>
      <c r="K65" s="271"/>
    </row>
    <row r="66" spans="2:11" x14ac:dyDescent="0.25">
      <c r="B66" s="353" t="s">
        <v>21</v>
      </c>
      <c r="C66" s="365" t="s">
        <v>30</v>
      </c>
      <c r="D66" s="347" t="str">
        <f>VLOOKUP(B66,'MEMÓRIA DE CÁLCULO'!$B:$H,2,)</f>
        <v>97592 SINAPI</v>
      </c>
      <c r="E66" s="302" t="str">
        <f>VLOOKUP(B66,'MEMÓRIA DE CÁLCULO'!$B:$H,3,)</f>
        <v>LUMINÁRIA TIPO PLAFON, DE SOBREPOR, COM 1 LÂMPADA LED DE 12/13 W, SEM REAT</v>
      </c>
      <c r="F66" s="349" t="s">
        <v>340</v>
      </c>
      <c r="G66" s="366">
        <f>VLOOKUP(B66,'MEMÓRIA DE CÁLCULO'!$B:$H,7,)</f>
        <v>138</v>
      </c>
      <c r="H66" s="361">
        <v>24.03</v>
      </c>
      <c r="I66" s="361">
        <v>10.35</v>
      </c>
      <c r="J66" s="358">
        <f>(I66+H66)*G66</f>
        <v>4744.4400000000005</v>
      </c>
      <c r="K66" s="271"/>
    </row>
    <row r="67" spans="2:11" x14ac:dyDescent="0.25">
      <c r="B67" s="125" t="s">
        <v>584</v>
      </c>
      <c r="C67" s="112" t="s">
        <v>462</v>
      </c>
      <c r="D67" s="177" t="str">
        <f>VLOOKUP(B67,'MEMÓRIA DE CÁLCULO'!$B:$H,2,)</f>
        <v>70594</v>
      </c>
      <c r="E67" s="102" t="str">
        <f>VLOOKUP(B67,'MEMÓRIA DE CÁLCULO'!$B:$H,3,)</f>
        <v>CABO PVC (70ºC) 1 KV No. 300 MM2 (VERMELHO)</v>
      </c>
      <c r="F67" s="100" t="s">
        <v>29</v>
      </c>
      <c r="G67" s="113">
        <f>VLOOKUP(B67,'MEMÓRIA DE CÁLCULO'!$B:$H,7,)</f>
        <v>15</v>
      </c>
      <c r="H67" s="108">
        <v>224.22</v>
      </c>
      <c r="I67" s="108">
        <v>12.62</v>
      </c>
      <c r="J67" s="128">
        <f>(I67+H67)*G67</f>
        <v>3552.6</v>
      </c>
      <c r="K67" s="271"/>
    </row>
    <row r="68" spans="2:11" x14ac:dyDescent="0.25">
      <c r="B68" s="125" t="s">
        <v>585</v>
      </c>
      <c r="C68" s="112" t="s">
        <v>462</v>
      </c>
      <c r="D68" s="177" t="str">
        <f>VLOOKUP(B68,'MEMÓRIA DE CÁLCULO'!$B:$H,2,)</f>
        <v>70592</v>
      </c>
      <c r="E68" s="102" t="str">
        <f>VLOOKUP(B68,'MEMÓRIA DE CÁLCULO'!$B:$H,3,)</f>
        <v>CABO PVC (70ºC) 1 KV No. 150 MM2 (VERDE/AMARELO)</v>
      </c>
      <c r="F68" s="100" t="s">
        <v>29</v>
      </c>
      <c r="G68" s="113">
        <f>VLOOKUP(B68,'MEMÓRIA DE CÁLCULO'!$B:$H,7,)</f>
        <v>22</v>
      </c>
      <c r="H68" s="108">
        <v>134.66999999999999</v>
      </c>
      <c r="I68" s="108">
        <v>7.3</v>
      </c>
      <c r="J68" s="128">
        <f t="shared" ref="J68:J114" si="4">(I68+H68)*G68</f>
        <v>3123.34</v>
      </c>
      <c r="K68" s="271"/>
    </row>
    <row r="69" spans="2:11" x14ac:dyDescent="0.25">
      <c r="B69" s="125" t="s">
        <v>586</v>
      </c>
      <c r="C69" s="112" t="s">
        <v>462</v>
      </c>
      <c r="D69" s="177" t="str">
        <f>VLOOKUP(B69,'MEMÓRIA DE CÁLCULO'!$B:$H,2,)</f>
        <v>70589</v>
      </c>
      <c r="E69" s="102" t="str">
        <f>VLOOKUP(B69,'MEMÓRIA DE CÁLCULO'!$B:$H,3,)</f>
        <v>CABO PVC (70ºC) 1 KV No. 70 MM2 (VERMELHO)</v>
      </c>
      <c r="F69" s="100" t="s">
        <v>29</v>
      </c>
      <c r="G69" s="113">
        <f>VLOOKUP(B69,'MEMÓRIA DE CÁLCULO'!$B:$H,7,)</f>
        <v>40</v>
      </c>
      <c r="H69" s="108">
        <v>64.83</v>
      </c>
      <c r="I69" s="108">
        <v>4.3499999999999996</v>
      </c>
      <c r="J69" s="128">
        <f t="shared" si="4"/>
        <v>2767.2</v>
      </c>
      <c r="K69" s="271"/>
    </row>
    <row r="70" spans="2:11" x14ac:dyDescent="0.25">
      <c r="B70" s="125" t="s">
        <v>587</v>
      </c>
      <c r="C70" s="112" t="s">
        <v>462</v>
      </c>
      <c r="D70" s="177" t="str">
        <f>VLOOKUP(B70,'MEMÓRIA DE CÁLCULO'!$B:$H,2,)</f>
        <v>70588</v>
      </c>
      <c r="E70" s="102" t="str">
        <f>VLOOKUP(B70,'MEMÓRIA DE CÁLCULO'!$B:$H,3,)</f>
        <v>CABO PVC (70ºC) 1 KV No. 50 MM2 (VERDE/AMARELO)</v>
      </c>
      <c r="F70" s="100" t="s">
        <v>29</v>
      </c>
      <c r="G70" s="113">
        <f>VLOOKUP(B70,'MEMÓRIA DE CÁLCULO'!$B:$H,7,)</f>
        <v>20</v>
      </c>
      <c r="H70" s="108">
        <v>33.840000000000003</v>
      </c>
      <c r="I70" s="108">
        <v>3.97</v>
      </c>
      <c r="J70" s="128">
        <f t="shared" si="4"/>
        <v>756.2</v>
      </c>
      <c r="K70" s="271"/>
    </row>
    <row r="71" spans="2:11" x14ac:dyDescent="0.25">
      <c r="B71" s="125" t="s">
        <v>588</v>
      </c>
      <c r="C71" s="112" t="s">
        <v>462</v>
      </c>
      <c r="D71" s="177" t="str">
        <f>VLOOKUP(B71,'MEMÓRIA DE CÁLCULO'!$B:$H,2,)</f>
        <v>70572</v>
      </c>
      <c r="E71" s="102" t="str">
        <f>VLOOKUP(B71,'MEMÓRIA DE CÁLCULO'!$B:$H,3,)</f>
        <v>CABO ISOLADO PVC 750 V, No. 25 MM2 (VERMLEHO)</v>
      </c>
      <c r="F71" s="100" t="s">
        <v>29</v>
      </c>
      <c r="G71" s="113">
        <f>VLOOKUP(B71,'MEMÓRIA DE CÁLCULO'!$B:$H,7,)</f>
        <v>550</v>
      </c>
      <c r="H71" s="108">
        <v>24.59</v>
      </c>
      <c r="I71" s="108">
        <v>2.1800000000000002</v>
      </c>
      <c r="J71" s="128">
        <f t="shared" si="4"/>
        <v>14723.5</v>
      </c>
      <c r="K71" s="271"/>
    </row>
    <row r="72" spans="2:11" x14ac:dyDescent="0.25">
      <c r="B72" s="125" t="s">
        <v>589</v>
      </c>
      <c r="C72" s="112" t="s">
        <v>462</v>
      </c>
      <c r="D72" s="177" t="str">
        <f>VLOOKUP(B72,'MEMÓRIA DE CÁLCULO'!$B:$H,2,)</f>
        <v>70571</v>
      </c>
      <c r="E72" s="102" t="str">
        <f>VLOOKUP(B72,'MEMÓRIA DE CÁLCULO'!$B:$H,3,)</f>
        <v>CABO ISOLADO PVC 750 V, No. 16 MM2 (VERDE/AMARELO)</v>
      </c>
      <c r="F72" s="100" t="s">
        <v>29</v>
      </c>
      <c r="G72" s="113">
        <f>VLOOKUP(B72,'MEMÓRIA DE CÁLCULO'!$B:$H,7,)</f>
        <v>275</v>
      </c>
      <c r="H72" s="108">
        <v>15.28</v>
      </c>
      <c r="I72" s="108">
        <v>2.0499999999999998</v>
      </c>
      <c r="J72" s="128">
        <f t="shared" si="4"/>
        <v>4765.7499999999991</v>
      </c>
      <c r="K72" s="271"/>
    </row>
    <row r="73" spans="2:11" x14ac:dyDescent="0.25">
      <c r="B73" s="125" t="s">
        <v>590</v>
      </c>
      <c r="C73" s="112" t="s">
        <v>462</v>
      </c>
      <c r="D73" s="177" t="str">
        <f>VLOOKUP(B73,'MEMÓRIA DE CÁLCULO'!$B:$H,2,)</f>
        <v>70565</v>
      </c>
      <c r="E73" s="102" t="str">
        <f>VLOOKUP(B73,'MEMÓRIA DE CÁLCULO'!$B:$H,3,)</f>
        <v>CABO ISOLADO PVC 750 V, No. 6 MM2 (VERMELHO)</v>
      </c>
      <c r="F73" s="100" t="s">
        <v>29</v>
      </c>
      <c r="G73" s="113">
        <f>VLOOKUP(B73,'MEMÓRIA DE CÁLCULO'!$B:$H,7,)</f>
        <v>670</v>
      </c>
      <c r="H73" s="108">
        <v>5.14</v>
      </c>
      <c r="I73" s="108">
        <v>1.67</v>
      </c>
      <c r="J73" s="128">
        <f t="shared" si="4"/>
        <v>4562.7</v>
      </c>
      <c r="K73" s="271"/>
    </row>
    <row r="74" spans="2:11" x14ac:dyDescent="0.25">
      <c r="B74" s="125" t="s">
        <v>591</v>
      </c>
      <c r="C74" s="112" t="s">
        <v>462</v>
      </c>
      <c r="D74" s="177" t="str">
        <f>VLOOKUP(B74,'MEMÓRIA DE CÁLCULO'!$B:$H,2,)</f>
        <v>70565</v>
      </c>
      <c r="E74" s="102" t="str">
        <f>VLOOKUP(B74,'MEMÓRIA DE CÁLCULO'!$B:$H,3,)</f>
        <v>CABO ISOLADO PVC 750 V, No. 6 MM2 (VERDE/AMARELO)</v>
      </c>
      <c r="F74" s="100" t="s">
        <v>29</v>
      </c>
      <c r="G74" s="113">
        <f>VLOOKUP(B74,'MEMÓRIA DE CÁLCULO'!$B:$H,7,)</f>
        <v>335</v>
      </c>
      <c r="H74" s="108">
        <v>5.14</v>
      </c>
      <c r="I74" s="108">
        <v>1.67</v>
      </c>
      <c r="J74" s="128">
        <f t="shared" si="4"/>
        <v>2281.35</v>
      </c>
      <c r="K74" s="271"/>
    </row>
    <row r="75" spans="2:11" x14ac:dyDescent="0.25">
      <c r="B75" s="125" t="s">
        <v>592</v>
      </c>
      <c r="C75" s="112" t="s">
        <v>462</v>
      </c>
      <c r="D75" s="177" t="str">
        <f>VLOOKUP(B75,'MEMÓRIA DE CÁLCULO'!$B:$H,2,)</f>
        <v>70563</v>
      </c>
      <c r="E75" s="102" t="str">
        <f>VLOOKUP(B75,'MEMÓRIA DE CÁLCULO'!$B:$H,3,)</f>
        <v>CABO ISOLADO PVC 750 V, No. 2,5 MM2 (VERMELHO)</v>
      </c>
      <c r="F75" s="100" t="s">
        <v>29</v>
      </c>
      <c r="G75" s="113">
        <f>VLOOKUP(B75,'MEMÓRIA DE CÁLCULO'!$B:$H,7,)</f>
        <v>1500</v>
      </c>
      <c r="H75" s="108">
        <v>2</v>
      </c>
      <c r="I75" s="108">
        <v>1.41</v>
      </c>
      <c r="J75" s="128">
        <f t="shared" si="4"/>
        <v>5115</v>
      </c>
      <c r="K75" s="271"/>
    </row>
    <row r="76" spans="2:11" x14ac:dyDescent="0.25">
      <c r="B76" s="125" t="s">
        <v>593</v>
      </c>
      <c r="C76" s="112" t="s">
        <v>462</v>
      </c>
      <c r="D76" s="177" t="str">
        <f>VLOOKUP(B76,'MEMÓRIA DE CÁLCULO'!$B:$H,2,)</f>
        <v>70563</v>
      </c>
      <c r="E76" s="102" t="str">
        <f>VLOOKUP(B76,'MEMÓRIA DE CÁLCULO'!$B:$H,3,)</f>
        <v>CABO ISOLADO PVC 750 V, No. 2,5 MM2 (VERDE/AMARELO)</v>
      </c>
      <c r="F76" s="100" t="s">
        <v>29</v>
      </c>
      <c r="G76" s="113">
        <f>VLOOKUP(B76,'MEMÓRIA DE CÁLCULO'!$B:$H,7,)</f>
        <v>750</v>
      </c>
      <c r="H76" s="108">
        <v>2</v>
      </c>
      <c r="I76" s="108">
        <v>1.41</v>
      </c>
      <c r="J76" s="128">
        <f t="shared" si="4"/>
        <v>2557.5</v>
      </c>
      <c r="K76" s="271"/>
    </row>
    <row r="77" spans="2:11" x14ac:dyDescent="0.25">
      <c r="B77" s="125" t="s">
        <v>594</v>
      </c>
      <c r="C77" s="112" t="s">
        <v>462</v>
      </c>
      <c r="D77" s="177" t="str">
        <f>VLOOKUP(B77,'MEMÓRIA DE CÁLCULO'!$B:$H,2,)</f>
        <v>70580</v>
      </c>
      <c r="E77" s="102" t="str">
        <f>VLOOKUP(B77,'MEMÓRIA DE CÁLCULO'!$B:$H,3,)</f>
        <v>CABO PVC (70ºC) 1 KV No. 1,5 MM2 (VERMELHO)</v>
      </c>
      <c r="F77" s="100" t="s">
        <v>29</v>
      </c>
      <c r="G77" s="113">
        <f>VLOOKUP(B77,'MEMÓRIA DE CÁLCULO'!$B:$H,7,)</f>
        <v>650</v>
      </c>
      <c r="H77" s="108">
        <v>1.82</v>
      </c>
      <c r="I77" s="108">
        <v>1.28</v>
      </c>
      <c r="J77" s="128">
        <f t="shared" si="4"/>
        <v>2015</v>
      </c>
      <c r="K77" s="271"/>
    </row>
    <row r="78" spans="2:11" x14ac:dyDescent="0.25">
      <c r="B78" s="125" t="s">
        <v>595</v>
      </c>
      <c r="C78" s="112" t="s">
        <v>462</v>
      </c>
      <c r="D78" s="177" t="str">
        <f>VLOOKUP(B78,'MEMÓRIA DE CÁLCULO'!$B:$H,2,)</f>
        <v>70580</v>
      </c>
      <c r="E78" s="102" t="str">
        <f>VLOOKUP(B78,'MEMÓRIA DE CÁLCULO'!$B:$H,3,)</f>
        <v>CABO PVC (70ºC) 1 KV No. 1,5 MM2 (PRETO)</v>
      </c>
      <c r="F78" s="100" t="s">
        <v>29</v>
      </c>
      <c r="G78" s="113">
        <f>VLOOKUP(B78,'MEMÓRIA DE CÁLCULO'!$B:$H,7,)</f>
        <v>600</v>
      </c>
      <c r="H78" s="108">
        <v>1.82</v>
      </c>
      <c r="I78" s="108">
        <v>1.28</v>
      </c>
      <c r="J78" s="128">
        <f t="shared" si="4"/>
        <v>1860</v>
      </c>
      <c r="K78" s="271"/>
    </row>
    <row r="79" spans="2:11" x14ac:dyDescent="0.25">
      <c r="B79" s="125" t="s">
        <v>605</v>
      </c>
      <c r="C79" s="112" t="s">
        <v>462</v>
      </c>
      <c r="D79" s="177">
        <f>VLOOKUP(B79,'MEMÓRIA DE CÁLCULO'!$B:$H,2,)</f>
        <v>71173</v>
      </c>
      <c r="E79" s="102" t="str">
        <f>VLOOKUP(B79,'MEMÓRIA DE CÁLCULO'!$B:$H,3,)</f>
        <v>DISJUNTOR TRIPOLAR DE 10A</v>
      </c>
      <c r="F79" s="100" t="s">
        <v>340</v>
      </c>
      <c r="G79" s="113">
        <f>VLOOKUP(B79,'MEMÓRIA DE CÁLCULO'!$B:$H,7,)</f>
        <v>9</v>
      </c>
      <c r="H79" s="108">
        <v>62.32</v>
      </c>
      <c r="I79" s="108">
        <v>23.05</v>
      </c>
      <c r="J79" s="128">
        <f t="shared" si="4"/>
        <v>768.33</v>
      </c>
      <c r="K79" s="271"/>
    </row>
    <row r="80" spans="2:11" x14ac:dyDescent="0.25">
      <c r="B80" s="125" t="s">
        <v>606</v>
      </c>
      <c r="C80" s="112" t="s">
        <v>462</v>
      </c>
      <c r="D80" s="177">
        <f>VLOOKUP(B80,'MEMÓRIA DE CÁLCULO'!$B:$H,2,)</f>
        <v>71173</v>
      </c>
      <c r="E80" s="102" t="str">
        <f>VLOOKUP(B80,'MEMÓRIA DE CÁLCULO'!$B:$H,3,)</f>
        <v>DISJUNTOR TIPOLAR DE 15A</v>
      </c>
      <c r="F80" s="100" t="s">
        <v>340</v>
      </c>
      <c r="G80" s="113">
        <f>VLOOKUP(B80,'MEMÓRIA DE CÁLCULO'!$B:$H,7,)</f>
        <v>3</v>
      </c>
      <c r="H80" s="108">
        <v>62.32</v>
      </c>
      <c r="I80" s="108">
        <v>23.05</v>
      </c>
      <c r="J80" s="128">
        <f t="shared" si="4"/>
        <v>256.11</v>
      </c>
      <c r="K80" s="271"/>
    </row>
    <row r="81" spans="2:11" x14ac:dyDescent="0.25">
      <c r="B81" s="125" t="s">
        <v>607</v>
      </c>
      <c r="C81" s="112" t="s">
        <v>462</v>
      </c>
      <c r="D81" s="177">
        <f>VLOOKUP(B81,'MEMÓRIA DE CÁLCULO'!$B:$H,2,)</f>
        <v>71173</v>
      </c>
      <c r="E81" s="102" t="str">
        <f>VLOOKUP(B81,'MEMÓRIA DE CÁLCULO'!$B:$H,3,)</f>
        <v>DISJUNTOR TRIPOLAR 20A</v>
      </c>
      <c r="F81" s="100" t="s">
        <v>340</v>
      </c>
      <c r="G81" s="113">
        <f>VLOOKUP(B81,'MEMÓRIA DE CÁLCULO'!$B:$H,7,)</f>
        <v>4</v>
      </c>
      <c r="H81" s="108">
        <v>62.32</v>
      </c>
      <c r="I81" s="108">
        <v>23.05</v>
      </c>
      <c r="J81" s="128">
        <f t="shared" si="4"/>
        <v>341.48</v>
      </c>
      <c r="K81" s="271"/>
    </row>
    <row r="82" spans="2:11" x14ac:dyDescent="0.25">
      <c r="B82" s="125" t="s">
        <v>608</v>
      </c>
      <c r="C82" s="112" t="s">
        <v>462</v>
      </c>
      <c r="D82" s="177">
        <f>VLOOKUP(B82,'MEMÓRIA DE CÁLCULO'!$B:$H,2,)</f>
        <v>71173</v>
      </c>
      <c r="E82" s="102" t="str">
        <f>VLOOKUP(B82,'MEMÓRIA DE CÁLCULO'!$B:$H,3,)</f>
        <v>DISJUNTOR TRIPOLAR 32A</v>
      </c>
      <c r="F82" s="100" t="s">
        <v>340</v>
      </c>
      <c r="G82" s="113">
        <f>VLOOKUP(B82,'MEMÓRIA DE CÁLCULO'!$B:$H,7,)</f>
        <v>13</v>
      </c>
      <c r="H82" s="108">
        <v>62.32</v>
      </c>
      <c r="I82" s="108">
        <v>23.05</v>
      </c>
      <c r="J82" s="128">
        <f t="shared" si="4"/>
        <v>1109.81</v>
      </c>
      <c r="K82" s="271"/>
    </row>
    <row r="83" spans="2:11" x14ac:dyDescent="0.25">
      <c r="B83" s="125" t="s">
        <v>609</v>
      </c>
      <c r="C83" s="112" t="s">
        <v>462</v>
      </c>
      <c r="D83" s="177">
        <f>VLOOKUP(B83,'MEMÓRIA DE CÁLCULO'!$B:$H,2,)</f>
        <v>71174</v>
      </c>
      <c r="E83" s="102" t="str">
        <f>VLOOKUP(B83,'MEMÓRIA DE CÁLCULO'!$B:$H,3,)</f>
        <v>DISJUNTOR TRIPOLAR 40A</v>
      </c>
      <c r="F83" s="100" t="s">
        <v>340</v>
      </c>
      <c r="G83" s="113">
        <f>VLOOKUP(B83,'MEMÓRIA DE CÁLCULO'!$B:$H,7,)</f>
        <v>1</v>
      </c>
      <c r="H83" s="108">
        <v>65.180000000000007</v>
      </c>
      <c r="I83" s="108">
        <v>23.05</v>
      </c>
      <c r="J83" s="128">
        <f t="shared" si="4"/>
        <v>88.23</v>
      </c>
      <c r="K83" s="271"/>
    </row>
    <row r="84" spans="2:11" x14ac:dyDescent="0.25">
      <c r="B84" s="125" t="s">
        <v>610</v>
      </c>
      <c r="C84" s="112" t="s">
        <v>462</v>
      </c>
      <c r="D84" s="177">
        <f>VLOOKUP(B84,'MEMÓRIA DE CÁLCULO'!$B:$H,2,)</f>
        <v>71175</v>
      </c>
      <c r="E84" s="102" t="str">
        <f>VLOOKUP(B84,'MEMÓRIA DE CÁLCULO'!$B:$H,3,)</f>
        <v>DISJUNTOR TRIPOLAR 60A</v>
      </c>
      <c r="F84" s="100" t="s">
        <v>340</v>
      </c>
      <c r="G84" s="113">
        <f>VLOOKUP(B84,'MEMÓRIA DE CÁLCULO'!$B:$H,7,)</f>
        <v>1</v>
      </c>
      <c r="H84" s="108">
        <v>193.09</v>
      </c>
      <c r="I84" s="108">
        <v>23.05</v>
      </c>
      <c r="J84" s="128">
        <f t="shared" si="4"/>
        <v>216.14000000000001</v>
      </c>
      <c r="K84" s="271"/>
    </row>
    <row r="85" spans="2:11" x14ac:dyDescent="0.25">
      <c r="B85" s="125" t="s">
        <v>611</v>
      </c>
      <c r="C85" s="112" t="s">
        <v>462</v>
      </c>
      <c r="D85" s="177">
        <f>VLOOKUP(B85,'MEMÓRIA DE CÁLCULO'!$B:$H,2,)</f>
        <v>71175</v>
      </c>
      <c r="E85" s="102" t="str">
        <f>VLOOKUP(B85,'MEMÓRIA DE CÁLCULO'!$B:$H,3,)</f>
        <v>DISJUNTOR TRIPOLAR 80A</v>
      </c>
      <c r="F85" s="100" t="s">
        <v>340</v>
      </c>
      <c r="G85" s="113">
        <f>VLOOKUP(B85,'MEMÓRIA DE CÁLCULO'!$B:$H,7,)</f>
        <v>4</v>
      </c>
      <c r="H85" s="108">
        <v>193.09</v>
      </c>
      <c r="I85" s="108">
        <v>23.05</v>
      </c>
      <c r="J85" s="128">
        <f t="shared" si="4"/>
        <v>864.56000000000006</v>
      </c>
      <c r="K85" s="271"/>
    </row>
    <row r="86" spans="2:11" x14ac:dyDescent="0.25">
      <c r="B86" s="125" t="s">
        <v>612</v>
      </c>
      <c r="C86" s="112" t="s">
        <v>462</v>
      </c>
      <c r="D86" s="177">
        <f>VLOOKUP(B86,'MEMÓRIA DE CÁLCULO'!$B:$H,2,)</f>
        <v>71175</v>
      </c>
      <c r="E86" s="102" t="str">
        <f>VLOOKUP(B86,'MEMÓRIA DE CÁLCULO'!$B:$H,3,)</f>
        <v>DISJUNTOR TRIPOLAR 90A</v>
      </c>
      <c r="F86" s="100" t="s">
        <v>340</v>
      </c>
      <c r="G86" s="113">
        <f>VLOOKUP(B86,'MEMÓRIA DE CÁLCULO'!$B:$H,7,)</f>
        <v>1</v>
      </c>
      <c r="H86" s="108">
        <v>193.09</v>
      </c>
      <c r="I86" s="108">
        <v>23.05</v>
      </c>
      <c r="J86" s="128">
        <f t="shared" si="4"/>
        <v>216.14000000000001</v>
      </c>
      <c r="K86" s="271"/>
    </row>
    <row r="87" spans="2:11" x14ac:dyDescent="0.25">
      <c r="B87" s="125" t="s">
        <v>613</v>
      </c>
      <c r="C87" s="112" t="s">
        <v>462</v>
      </c>
      <c r="D87" s="177">
        <f>VLOOKUP(B87,'MEMÓRIA DE CÁLCULO'!$B:$H,2,)</f>
        <v>71177</v>
      </c>
      <c r="E87" s="102" t="str">
        <f>VLOOKUP(B87,'MEMÓRIA DE CÁLCULO'!$B:$H,3,)</f>
        <v>DISJUNTOR TRIPOLAR 160A</v>
      </c>
      <c r="F87" s="100" t="s">
        <v>340</v>
      </c>
      <c r="G87" s="113">
        <f>VLOOKUP(B87,'MEMÓRIA DE CÁLCULO'!$B:$H,7,)</f>
        <v>1</v>
      </c>
      <c r="H87" s="108">
        <v>403.37</v>
      </c>
      <c r="I87" s="108">
        <v>23.05</v>
      </c>
      <c r="J87" s="128">
        <f t="shared" si="4"/>
        <v>426.42</v>
      </c>
      <c r="K87" s="271"/>
    </row>
    <row r="88" spans="2:11" x14ac:dyDescent="0.25">
      <c r="B88" s="125" t="s">
        <v>614</v>
      </c>
      <c r="C88" s="112" t="s">
        <v>30</v>
      </c>
      <c r="D88" s="177" t="str">
        <f>VLOOKUP(B88,'MEMÓRIA DE CÁLCULO'!$B:$H,2,)</f>
        <v>SINAPI 101899</v>
      </c>
      <c r="E88" s="102" t="str">
        <f>VLOOKUP(B88,'MEMÓRIA DE CÁLCULO'!$B:$H,3,)</f>
        <v>DISJUNTOR TERMOMAGNETICO TRIPOLAR 500A</v>
      </c>
      <c r="F88" s="100" t="s">
        <v>340</v>
      </c>
      <c r="G88" s="113">
        <f>VLOOKUP(B88,'MEMÓRIA DE CÁLCULO'!$B:$H,7,)</f>
        <v>1</v>
      </c>
      <c r="H88" s="108">
        <v>2393.84</v>
      </c>
      <c r="I88" s="108">
        <v>33.68</v>
      </c>
      <c r="J88" s="128">
        <f t="shared" si="4"/>
        <v>2427.52</v>
      </c>
      <c r="K88" s="271"/>
    </row>
    <row r="89" spans="2:11" x14ac:dyDescent="0.25">
      <c r="B89" s="125" t="s">
        <v>621</v>
      </c>
      <c r="C89" s="112" t="s">
        <v>462</v>
      </c>
      <c r="D89" s="177">
        <f>VLOOKUP(B89,'MEMÓRIA DE CÁLCULO'!$B:$H,2,)</f>
        <v>71194</v>
      </c>
      <c r="E89" s="102" t="str">
        <f>VLOOKUP(B89,'MEMÓRIA DE CÁLCULO'!$B:$H,3,)</f>
        <v>ELETRODUTO PVC FLEXÍVEL - MANGUEIRA CORRUGADA LEVE - DIAM. 25MM</v>
      </c>
      <c r="F89" s="100" t="s">
        <v>29</v>
      </c>
      <c r="G89" s="113">
        <f>VLOOKUP(B89,'MEMÓRIA DE CÁLCULO'!$B:$H,7,)</f>
        <v>515</v>
      </c>
      <c r="H89" s="108">
        <v>1.26</v>
      </c>
      <c r="I89" s="108">
        <v>4.3499999999999996</v>
      </c>
      <c r="J89" s="128">
        <f t="shared" si="4"/>
        <v>2889.1499999999996</v>
      </c>
      <c r="K89" s="271"/>
    </row>
    <row r="90" spans="2:11" x14ac:dyDescent="0.25">
      <c r="B90" s="125" t="s">
        <v>622</v>
      </c>
      <c r="C90" s="112" t="s">
        <v>462</v>
      </c>
      <c r="D90" s="177">
        <f>VLOOKUP(B90,'MEMÓRIA DE CÁLCULO'!$B:$H,2,)</f>
        <v>71195</v>
      </c>
      <c r="E90" s="102" t="str">
        <f>VLOOKUP(B90,'MEMÓRIA DE CÁLCULO'!$B:$H,3,)</f>
        <v>ELETRODUTO PVC FLEXÍVEL - MANGUEIRA CORRUGADA LEVE - DIAM. 32MM</v>
      </c>
      <c r="F90" s="100" t="s">
        <v>29</v>
      </c>
      <c r="G90" s="113">
        <f>VLOOKUP(B90,'MEMÓRIA DE CÁLCULO'!$B:$H,7,)</f>
        <v>170</v>
      </c>
      <c r="H90" s="108">
        <v>2.15</v>
      </c>
      <c r="I90" s="108">
        <v>5.12</v>
      </c>
      <c r="J90" s="128">
        <f t="shared" si="4"/>
        <v>1235.8999999999999</v>
      </c>
      <c r="K90" s="271"/>
    </row>
    <row r="91" spans="2:11" x14ac:dyDescent="0.25">
      <c r="B91" s="125" t="s">
        <v>623</v>
      </c>
      <c r="C91" s="112" t="s">
        <v>462</v>
      </c>
      <c r="D91" s="177">
        <f>VLOOKUP(B91,'MEMÓRIA DE CÁLCULO'!$B:$H,2,)</f>
        <v>71196</v>
      </c>
      <c r="E91" s="102" t="str">
        <f>VLOOKUP(B91,'MEMÓRIA DE CÁLCULO'!$B:$H,3,)</f>
        <v>ELETRODUTO PVC FLEXÍVEL - MANGUEIRA CORRUGADA REFORÇADA - DIAM. 40MM</v>
      </c>
      <c r="F91" s="100" t="s">
        <v>29</v>
      </c>
      <c r="G91" s="113">
        <f>VLOOKUP(B91,'MEMÓRIA DE CÁLCULO'!$B:$H,7,)</f>
        <v>110</v>
      </c>
      <c r="H91" s="108">
        <v>2.12</v>
      </c>
      <c r="I91" s="108">
        <v>5.12</v>
      </c>
      <c r="J91" s="128">
        <f t="shared" si="4"/>
        <v>796.4</v>
      </c>
      <c r="K91" s="271"/>
    </row>
    <row r="92" spans="2:11" x14ac:dyDescent="0.25">
      <c r="B92" s="125" t="s">
        <v>624</v>
      </c>
      <c r="C92" s="112" t="s">
        <v>462</v>
      </c>
      <c r="D92" s="177">
        <f>VLOOKUP(B92,'MEMÓRIA DE CÁLCULO'!$B:$H,2,)</f>
        <v>71197</v>
      </c>
      <c r="E92" s="102" t="str">
        <f>VLOOKUP(B92,'MEMÓRIA DE CÁLCULO'!$B:$H,3,)</f>
        <v>ELETRODUTO PVC FLEXÍVEL - MANGUEIRA CORRUGADA REFORÇADA - DIAM. 50MM</v>
      </c>
      <c r="F92" s="100" t="s">
        <v>29</v>
      </c>
      <c r="G92" s="113">
        <f>VLOOKUP(B92,'MEMÓRIA DE CÁLCULO'!$B:$H,7,)</f>
        <v>40</v>
      </c>
      <c r="H92" s="108">
        <v>2.57</v>
      </c>
      <c r="I92" s="108">
        <v>9.48</v>
      </c>
      <c r="J92" s="128">
        <f t="shared" si="4"/>
        <v>482</v>
      </c>
      <c r="K92" s="271"/>
    </row>
    <row r="93" spans="2:11" x14ac:dyDescent="0.25">
      <c r="B93" s="125" t="s">
        <v>644</v>
      </c>
      <c r="C93" s="112" t="s">
        <v>462</v>
      </c>
      <c r="D93" s="177">
        <f>VLOOKUP(B93,'MEMÓRIA DE CÁLCULO'!$B:$H,2,)</f>
        <v>72170</v>
      </c>
      <c r="E93" s="102" t="str">
        <f>VLOOKUP(B93,'MEMÓRIA DE CÁLCULO'!$B:$H,3,)</f>
        <v>QUADRO DE DISTRIBUIÇÃO DE EMBUTIR EM PVC CB 12E - 80A</v>
      </c>
      <c r="F93" s="100" t="s">
        <v>340</v>
      </c>
      <c r="G93" s="113">
        <f>VLOOKUP(B93,'MEMÓRIA DE CÁLCULO'!$B:$H,7,)</f>
        <v>5</v>
      </c>
      <c r="H93" s="108">
        <v>117.59</v>
      </c>
      <c r="I93" s="108">
        <v>38.42</v>
      </c>
      <c r="J93" s="128">
        <f t="shared" si="4"/>
        <v>780.05</v>
      </c>
      <c r="K93" s="271"/>
    </row>
    <row r="94" spans="2:11" ht="13.5" customHeight="1" x14ac:dyDescent="0.25">
      <c r="B94" s="125" t="s">
        <v>645</v>
      </c>
      <c r="C94" s="245" t="s">
        <v>1084</v>
      </c>
      <c r="D94" s="177" t="str">
        <f>VLOOKUP(B94,'MEMÓRIA DE CÁLCULO'!$B:$H,2,)</f>
        <v>SEINFRA C2089</v>
      </c>
      <c r="E94" s="102" t="str">
        <f>VLOOKUP(B94,'MEMÓRIA DE CÁLCULO'!$B:$H,3,)</f>
        <v xml:space="preserve">QUADRO DE FORÇA, C/ BARRAMENTO (1.80X1.90X0.60)M </v>
      </c>
      <c r="F94" s="100" t="s">
        <v>340</v>
      </c>
      <c r="G94" s="113">
        <f>VLOOKUP(B94,'MEMÓRIA DE CÁLCULO'!$B:$H,7,)</f>
        <v>1</v>
      </c>
      <c r="H94" s="108">
        <v>5308.55</v>
      </c>
      <c r="I94" s="108">
        <v>131.38999999999999</v>
      </c>
      <c r="J94" s="128">
        <f t="shared" si="4"/>
        <v>5439.9400000000005</v>
      </c>
      <c r="K94" s="271"/>
    </row>
    <row r="95" spans="2:11" ht="15" customHeight="1" x14ac:dyDescent="0.25">
      <c r="B95" s="125" t="s">
        <v>646</v>
      </c>
      <c r="C95" s="112" t="s">
        <v>462</v>
      </c>
      <c r="D95" s="185">
        <f>VLOOKUP(B95,'MEMÓRIA DE CÁLCULO'!$B:$H,2,)</f>
        <v>72430</v>
      </c>
      <c r="E95" s="102" t="str">
        <f>VLOOKUP(B95,'MEMÓRIA DE CÁLCULO'!$B:$H,3,)</f>
        <v>TAMPA PARA CONDULETE DE PVC PARA 1 INTERRUPTOR</v>
      </c>
      <c r="F95" s="100" t="s">
        <v>340</v>
      </c>
      <c r="G95" s="113">
        <f>VLOOKUP(B95,'MEMÓRIA DE CÁLCULO'!$B:$H,7,)</f>
        <v>17</v>
      </c>
      <c r="H95" s="108">
        <v>1.53</v>
      </c>
      <c r="I95" s="108">
        <v>0.77</v>
      </c>
      <c r="J95" s="128">
        <f t="shared" si="4"/>
        <v>39.099999999999994</v>
      </c>
      <c r="K95" s="271"/>
    </row>
    <row r="96" spans="2:11" x14ac:dyDescent="0.25">
      <c r="B96" s="125" t="s">
        <v>647</v>
      </c>
      <c r="C96" s="112" t="s">
        <v>462</v>
      </c>
      <c r="D96" s="185">
        <f>VLOOKUP(B96,'MEMÓRIA DE CÁLCULO'!$B:$H,2,)</f>
        <v>72435</v>
      </c>
      <c r="E96" s="102" t="str">
        <f>VLOOKUP(B96,'MEMÓRIA DE CÁLCULO'!$B:$H,3,)</f>
        <v>TAMPA PARA CONDULETE DE PVC PARA 2 INTERRUPTORES</v>
      </c>
      <c r="F96" s="100" t="s">
        <v>340</v>
      </c>
      <c r="G96" s="113">
        <f>VLOOKUP(B96,'MEMÓRIA DE CÁLCULO'!$B:$H,7,)</f>
        <v>7</v>
      </c>
      <c r="H96" s="108">
        <v>1.69</v>
      </c>
      <c r="I96" s="108">
        <v>0.77</v>
      </c>
      <c r="J96" s="128">
        <f t="shared" si="4"/>
        <v>17.22</v>
      </c>
      <c r="K96" s="271"/>
    </row>
    <row r="97" spans="2:11" x14ac:dyDescent="0.25">
      <c r="B97" s="125" t="s">
        <v>648</v>
      </c>
      <c r="C97" s="112" t="s">
        <v>462</v>
      </c>
      <c r="D97" s="185">
        <f>VLOOKUP(B97,'MEMÓRIA DE CÁLCULO'!$B:$H,2,)</f>
        <v>72441</v>
      </c>
      <c r="E97" s="102" t="str">
        <f>VLOOKUP(B97,'MEMÓRIA DE CÁLCULO'!$B:$H,3,)</f>
        <v>TAMPA PARA CONDULETE DE PVC PARA 1 TOMADA</v>
      </c>
      <c r="F97" s="100" t="s">
        <v>340</v>
      </c>
      <c r="G97" s="113">
        <f>VLOOKUP(B97,'MEMÓRIA DE CÁLCULO'!$B:$H,7,)</f>
        <v>74</v>
      </c>
      <c r="H97" s="108">
        <v>1.53</v>
      </c>
      <c r="I97" s="108">
        <v>0.77</v>
      </c>
      <c r="J97" s="128">
        <f t="shared" si="4"/>
        <v>170.2</v>
      </c>
      <c r="K97" s="271"/>
    </row>
    <row r="98" spans="2:11" x14ac:dyDescent="0.25">
      <c r="B98" s="125" t="s">
        <v>649</v>
      </c>
      <c r="C98" s="112" t="s">
        <v>462</v>
      </c>
      <c r="D98" s="185">
        <f>VLOOKUP(B98,'MEMÓRIA DE CÁLCULO'!$B:$H,2,)</f>
        <v>72442</v>
      </c>
      <c r="E98" s="102" t="str">
        <f>VLOOKUP(B98,'MEMÓRIA DE CÁLCULO'!$B:$H,3,)</f>
        <v>TAMPA PARA CONDULETE DE PVC PARA 1 INTERRUPTOR E 1 TOMADA</v>
      </c>
      <c r="F98" s="100" t="s">
        <v>340</v>
      </c>
      <c r="G98" s="113">
        <f>VLOOKUP(B98,'MEMÓRIA DE CÁLCULO'!$B:$H,7,)</f>
        <v>7</v>
      </c>
      <c r="H98" s="108">
        <v>1.69</v>
      </c>
      <c r="I98" s="108">
        <v>0.77</v>
      </c>
      <c r="J98" s="128">
        <f t="shared" si="4"/>
        <v>17.22</v>
      </c>
      <c r="K98" s="271"/>
    </row>
    <row r="99" spans="2:11" x14ac:dyDescent="0.25">
      <c r="B99" s="125" t="s">
        <v>650</v>
      </c>
      <c r="C99" s="112" t="s">
        <v>462</v>
      </c>
      <c r="D99" s="185">
        <f>VLOOKUP(B99,'MEMÓRIA DE CÁLCULO'!$B:$H,2,)</f>
        <v>72385</v>
      </c>
      <c r="E99" s="102" t="str">
        <f>VLOOKUP(B99,'MEMÓRIA DE CÁLCULO'!$B:$H,3,)</f>
        <v>TAMPA CEGA PARA CONDULETE DE PVC</v>
      </c>
      <c r="F99" s="100" t="s">
        <v>340</v>
      </c>
      <c r="G99" s="113">
        <f>VLOOKUP(B99,'MEMÓRIA DE CÁLCULO'!$B:$H,7,)</f>
        <v>2</v>
      </c>
      <c r="H99" s="108">
        <v>2.0499999999999998</v>
      </c>
      <c r="I99" s="108">
        <v>0.77</v>
      </c>
      <c r="J99" s="128">
        <f t="shared" si="4"/>
        <v>5.64</v>
      </c>
      <c r="K99" s="271"/>
    </row>
    <row r="100" spans="2:11" x14ac:dyDescent="0.25">
      <c r="B100" s="125" t="s">
        <v>651</v>
      </c>
      <c r="C100" s="112" t="s">
        <v>462</v>
      </c>
      <c r="D100" s="185">
        <f>VLOOKUP(B100,'MEMÓRIA DE CÁLCULO'!$B:$H,2,)</f>
        <v>71598</v>
      </c>
      <c r="E100" s="102" t="str">
        <f>VLOOKUP(B100,'MEMÓRIA DE CÁLCULO'!$B:$H,3,)</f>
        <v>LUMINÁRIA DE EMERGÊNCIA 30 LEDS</v>
      </c>
      <c r="F100" s="100" t="s">
        <v>340</v>
      </c>
      <c r="G100" s="113">
        <f>VLOOKUP(B100,'MEMÓRIA DE CÁLCULO'!$B:$H,7,)</f>
        <v>25</v>
      </c>
      <c r="H100" s="108">
        <v>22.61</v>
      </c>
      <c r="I100" s="108">
        <v>4.2699999999999996</v>
      </c>
      <c r="J100" s="128">
        <f t="shared" si="4"/>
        <v>672</v>
      </c>
      <c r="K100" s="271"/>
    </row>
    <row r="101" spans="2:11" x14ac:dyDescent="0.25">
      <c r="B101" s="125" t="s">
        <v>652</v>
      </c>
      <c r="C101" s="112" t="s">
        <v>462</v>
      </c>
      <c r="D101" s="185">
        <f>VLOOKUP(B101,'MEMÓRIA DE CÁLCULO'!$B:$H,2,)</f>
        <v>71321</v>
      </c>
      <c r="E101" s="102" t="str">
        <f>VLOOKUP(B101,'MEMÓRIA DE CÁLCULO'!$B:$H,3,)</f>
        <v>FITA DE AUTO FUSAO, ROLO E 10,00 MM</v>
      </c>
      <c r="F101" s="100" t="s">
        <v>340</v>
      </c>
      <c r="G101" s="113">
        <f>VLOOKUP(B101,'MEMÓRIA DE CÁLCULO'!$B:$H,7,)</f>
        <v>150</v>
      </c>
      <c r="H101" s="108">
        <v>12.5</v>
      </c>
      <c r="I101" s="108">
        <v>5.12</v>
      </c>
      <c r="J101" s="128">
        <f t="shared" si="4"/>
        <v>2643</v>
      </c>
      <c r="K101" s="271"/>
    </row>
    <row r="102" spans="2:11" x14ac:dyDescent="0.25">
      <c r="B102" s="125" t="s">
        <v>653</v>
      </c>
      <c r="C102" s="112" t="s">
        <v>462</v>
      </c>
      <c r="D102" s="185">
        <f>VLOOKUP(B102,'MEMÓRIA DE CÁLCULO'!$B:$H,2,)</f>
        <v>70681</v>
      </c>
      <c r="E102" s="102" t="str">
        <f>VLOOKUP(B102,'MEMÓRIA DE CÁLCULO'!$B:$H,3,)</f>
        <v>CAIXA METALICA OCTOGONAL FUNDO MOVEL, SIMPLES 2"</v>
      </c>
      <c r="F102" s="100" t="s">
        <v>340</v>
      </c>
      <c r="G102" s="113">
        <f>VLOOKUP(B102,'MEMÓRIA DE CÁLCULO'!$B:$H,7,)</f>
        <v>52</v>
      </c>
      <c r="H102" s="108">
        <v>2.6</v>
      </c>
      <c r="I102" s="108">
        <v>3.85</v>
      </c>
      <c r="J102" s="128">
        <f t="shared" si="4"/>
        <v>335.40000000000003</v>
      </c>
      <c r="K102" s="271"/>
    </row>
    <row r="103" spans="2:11" x14ac:dyDescent="0.25">
      <c r="B103" s="125" t="s">
        <v>654</v>
      </c>
      <c r="C103" s="112" t="s">
        <v>462</v>
      </c>
      <c r="D103" s="185">
        <f>VLOOKUP(B103,'MEMÓRIA DE CÁLCULO'!$B:$H,2,)</f>
        <v>70924</v>
      </c>
      <c r="E103" s="102" t="str">
        <f>VLOOKUP(B103,'MEMÓRIA DE CÁLCULO'!$B:$H,3,)</f>
        <v>CONDULETE DE PVC - CAIXA COM 5 ENTRADAS</v>
      </c>
      <c r="F103" s="100" t="s">
        <v>340</v>
      </c>
      <c r="G103" s="113">
        <f>VLOOKUP(B103,'MEMÓRIA DE CÁLCULO'!$B:$H,7,)</f>
        <v>110</v>
      </c>
      <c r="H103" s="108">
        <v>5.56</v>
      </c>
      <c r="I103" s="108">
        <v>8.7100000000000009</v>
      </c>
      <c r="J103" s="128">
        <f t="shared" si="4"/>
        <v>1569.7</v>
      </c>
      <c r="K103" s="271"/>
    </row>
    <row r="104" spans="2:11" x14ac:dyDescent="0.25">
      <c r="B104" s="125" t="s">
        <v>655</v>
      </c>
      <c r="C104" s="112" t="s">
        <v>462</v>
      </c>
      <c r="D104" s="185">
        <f>VLOOKUP(B104,'MEMÓRIA DE CÁLCULO'!$B:$H,2,)</f>
        <v>71043</v>
      </c>
      <c r="E104" s="102" t="str">
        <f>VLOOKUP(B104,'MEMÓRIA DE CÁLCULO'!$B:$H,3,)</f>
        <v>CONECTOR TRIPOLAR EM PORCELANA PARA FIOS DE ATÉ 10MM2 (BORNES) 50A-250V ( CHUVEIRO</v>
      </c>
      <c r="F104" s="100" t="s">
        <v>340</v>
      </c>
      <c r="G104" s="113">
        <f>VLOOKUP(B104,'MEMÓRIA DE CÁLCULO'!$B:$H,7,)</f>
        <v>13</v>
      </c>
      <c r="H104" s="108">
        <v>2.75</v>
      </c>
      <c r="I104" s="108">
        <v>7.43</v>
      </c>
      <c r="J104" s="128">
        <f t="shared" si="4"/>
        <v>132.34</v>
      </c>
      <c r="K104" s="271"/>
    </row>
    <row r="105" spans="2:11" x14ac:dyDescent="0.25">
      <c r="B105" s="125" t="s">
        <v>656</v>
      </c>
      <c r="C105" s="112" t="s">
        <v>462</v>
      </c>
      <c r="D105" s="185">
        <f>VLOOKUP(B105,'MEMÓRIA DE CÁLCULO'!$B:$H,2,)</f>
        <v>71440</v>
      </c>
      <c r="E105" s="102" t="str">
        <f>VLOOKUP(B105,'MEMÓRIA DE CÁLCULO'!$B:$H,3,)</f>
        <v>INTERRUPTOR SIMPLES (1 SECAO)</v>
      </c>
      <c r="F105" s="100" t="s">
        <v>340</v>
      </c>
      <c r="G105" s="113">
        <f>VLOOKUP(B105,'MEMÓRIA DE CÁLCULO'!$B:$H,7,)</f>
        <v>7</v>
      </c>
      <c r="H105" s="108">
        <v>4.18</v>
      </c>
      <c r="I105" s="108">
        <v>5.37</v>
      </c>
      <c r="J105" s="128">
        <f t="shared" si="4"/>
        <v>66.850000000000009</v>
      </c>
      <c r="K105" s="271"/>
    </row>
    <row r="106" spans="2:11" x14ac:dyDescent="0.25">
      <c r="B106" s="125" t="s">
        <v>657</v>
      </c>
      <c r="C106" s="112" t="s">
        <v>30</v>
      </c>
      <c r="D106" s="185" t="str">
        <f>VLOOKUP(B106,'MEMÓRIA DE CÁLCULO'!$B:$H,2,)</f>
        <v>SINAPI 92025</v>
      </c>
      <c r="E106" s="102" t="str">
        <f>VLOOKUP(B106,'MEMÓRIA DE CÁLCULO'!$B:$H,3,)</f>
        <v>INTERRUPTOR SIMPLES (1 MÓDULO) COM 2 TOMADAS DE EMBUTIR 2P+T 10 A</v>
      </c>
      <c r="F106" s="100" t="s">
        <v>340</v>
      </c>
      <c r="G106" s="113">
        <f>VLOOKUP(B106,'MEMÓRIA DE CÁLCULO'!$B:$H,7,)</f>
        <v>5</v>
      </c>
      <c r="H106" s="108">
        <v>23.08</v>
      </c>
      <c r="I106" s="108">
        <v>20.2</v>
      </c>
      <c r="J106" s="128">
        <f t="shared" si="4"/>
        <v>216.4</v>
      </c>
      <c r="K106" s="271"/>
    </row>
    <row r="107" spans="2:11" ht="16.5" customHeight="1" x14ac:dyDescent="0.25">
      <c r="B107" s="125" t="s">
        <v>658</v>
      </c>
      <c r="C107" s="112" t="s">
        <v>462</v>
      </c>
      <c r="D107" s="185">
        <f>VLOOKUP(B107,'MEMÓRIA DE CÁLCULO'!$B:$H,2,)</f>
        <v>71431</v>
      </c>
      <c r="E107" s="102" t="str">
        <f>VLOOKUP(B107,'MEMÓRIA DE CÁLCULO'!$B:$H,3,)</f>
        <v>INTERRUPTOR PARALELO SIMPLES (1 SECAO)</v>
      </c>
      <c r="F107" s="100" t="s">
        <v>340</v>
      </c>
      <c r="G107" s="113">
        <f>VLOOKUP(B107,'MEMÓRIA DE CÁLCULO'!$B:$H,7,)</f>
        <v>12</v>
      </c>
      <c r="H107" s="108">
        <v>5.69</v>
      </c>
      <c r="I107" s="108">
        <v>7.43</v>
      </c>
      <c r="J107" s="128">
        <f t="shared" si="4"/>
        <v>157.44</v>
      </c>
      <c r="K107" s="271"/>
    </row>
    <row r="108" spans="2:11" x14ac:dyDescent="0.25">
      <c r="B108" s="125" t="s">
        <v>659</v>
      </c>
      <c r="C108" s="112" t="s">
        <v>30</v>
      </c>
      <c r="D108" s="185" t="str">
        <f>VLOOKUP(B108,'MEMÓRIA DE CÁLCULO'!$B:$H,2,)</f>
        <v>SINAPI 92026</v>
      </c>
      <c r="E108" s="102" t="str">
        <f>VLOOKUP(B108,'MEMÓRIA DE CÁLCULO'!$B:$H,3,)</f>
        <v>INTERRUPTOR SIMPLES (2 MÓDULOS) COM 1 TOMADA DE EMBUTIR 2P+T 10 A,</v>
      </c>
      <c r="F108" s="100" t="s">
        <v>340</v>
      </c>
      <c r="G108" s="113">
        <f>VLOOKUP(B108,'MEMÓRIA DE CÁLCULO'!$B:$H,7,)</f>
        <v>7</v>
      </c>
      <c r="H108" s="108">
        <v>18.59</v>
      </c>
      <c r="I108" s="108">
        <v>16.23</v>
      </c>
      <c r="J108" s="128">
        <f t="shared" si="4"/>
        <v>243.74</v>
      </c>
      <c r="K108" s="271"/>
    </row>
    <row r="109" spans="2:11" x14ac:dyDescent="0.25">
      <c r="B109" s="125" t="s">
        <v>660</v>
      </c>
      <c r="C109" s="112" t="s">
        <v>462</v>
      </c>
      <c r="D109" s="185">
        <f>VLOOKUP(B109,'MEMÓRIA DE CÁLCULO'!$B:$H,2,)</f>
        <v>72570</v>
      </c>
      <c r="E109" s="102" t="str">
        <f>VLOOKUP(B109,'MEMÓRIA DE CÁLCULO'!$B:$H,3,)</f>
        <v>TOMADA HEXAGONAL 2P + T - 10A - 250V (LINHA X OU EQUIVALENTE)</v>
      </c>
      <c r="F109" s="100" t="s">
        <v>340</v>
      </c>
      <c r="G109" s="113">
        <f>VLOOKUP(B109,'MEMÓRIA DE CÁLCULO'!$B:$H,7,)</f>
        <v>74</v>
      </c>
      <c r="H109" s="108">
        <v>8.31</v>
      </c>
      <c r="I109" s="108">
        <v>7.43</v>
      </c>
      <c r="J109" s="128">
        <f t="shared" si="4"/>
        <v>1164.76</v>
      </c>
      <c r="K109" s="271"/>
    </row>
    <row r="110" spans="2:11" x14ac:dyDescent="0.25">
      <c r="B110" s="125" t="s">
        <v>661</v>
      </c>
      <c r="C110" s="112" t="s">
        <v>462</v>
      </c>
      <c r="D110" s="185">
        <f>VLOOKUP(B110,'MEMÓRIA DE CÁLCULO'!$B:$H,2,)</f>
        <v>72575</v>
      </c>
      <c r="E110" s="102" t="str">
        <f>VLOOKUP(B110,'MEMÓRIA DE CÁLCULO'!$B:$H,3,)</f>
        <v>TOMADA HEXAGONAL 2P + T - 20A - 250V (LINHA X OU EQUIVALENTE)</v>
      </c>
      <c r="F110" s="100" t="s">
        <v>340</v>
      </c>
      <c r="G110" s="113">
        <f>VLOOKUP(B110,'MEMÓRIA DE CÁLCULO'!$B:$H,7,)</f>
        <v>6</v>
      </c>
      <c r="H110" s="108">
        <v>11.67</v>
      </c>
      <c r="I110" s="108">
        <v>7.43</v>
      </c>
      <c r="J110" s="128">
        <f t="shared" si="4"/>
        <v>114.60000000000001</v>
      </c>
      <c r="K110" s="271"/>
    </row>
    <row r="111" spans="2:11" x14ac:dyDescent="0.25">
      <c r="B111" s="125" t="s">
        <v>718</v>
      </c>
      <c r="C111" s="112" t="s">
        <v>462</v>
      </c>
      <c r="D111" s="185">
        <f>VLOOKUP(B111,'MEMÓRIA DE CÁLCULO'!$B:$H,2,)</f>
        <v>70710</v>
      </c>
      <c r="E111" s="102" t="str">
        <f>VLOOKUP(B111,'MEMÓRIA DE CÁLCULO'!$B:$H,3,)</f>
        <v>CAIXA DE PASSAGEM 30X30X40CM COM TAMPA E DRENO BRITA</v>
      </c>
      <c r="F111" s="100" t="s">
        <v>340</v>
      </c>
      <c r="G111" s="113">
        <f>VLOOKUP(B111,'MEMÓRIA DE CÁLCULO'!$B:$H,7,)</f>
        <v>3</v>
      </c>
      <c r="H111" s="108">
        <v>69.8</v>
      </c>
      <c r="I111" s="108">
        <v>56.03</v>
      </c>
      <c r="J111" s="128">
        <f t="shared" si="4"/>
        <v>377.49</v>
      </c>
      <c r="K111" s="271"/>
    </row>
    <row r="112" spans="2:11" x14ac:dyDescent="0.25">
      <c r="B112" s="125" t="s">
        <v>719</v>
      </c>
      <c r="C112" s="112" t="s">
        <v>462</v>
      </c>
      <c r="D112" s="185">
        <f>VLOOKUP(B112,'MEMÓRIA DE CÁLCULO'!$B:$H,2,)</f>
        <v>70542</v>
      </c>
      <c r="E112" s="102" t="str">
        <f>VLOOKUP(B112,'MEMÓRIA DE CÁLCULO'!$B:$H,3,)</f>
        <v>CABO DE COBRE NU No. 25 MM2 (4,73 M /KG)</v>
      </c>
      <c r="F112" s="100" t="s">
        <v>29</v>
      </c>
      <c r="G112" s="113">
        <f>VLOOKUP(B112,'MEMÓRIA DE CÁLCULO'!$B:$H,7,)</f>
        <v>8</v>
      </c>
      <c r="H112" s="108">
        <v>20.62</v>
      </c>
      <c r="I112" s="108">
        <v>2.1800000000000002</v>
      </c>
      <c r="J112" s="128">
        <f t="shared" si="4"/>
        <v>182.4</v>
      </c>
      <c r="K112" s="271"/>
    </row>
    <row r="113" spans="1:11" x14ac:dyDescent="0.25">
      <c r="B113" s="125" t="s">
        <v>720</v>
      </c>
      <c r="C113" s="112" t="s">
        <v>462</v>
      </c>
      <c r="D113" s="185">
        <f>VLOOKUP(B113,'MEMÓRIA DE CÁLCULO'!$B:$H,2,)</f>
        <v>71380</v>
      </c>
      <c r="E113" s="102" t="str">
        <f>VLOOKUP(B113,'MEMÓRIA DE CÁLCULO'!$B:$H,3,)</f>
        <v>HASTE REV.COBRE(COPPERWELD) 3/4" X 2,40 M C/CONECTOR</v>
      </c>
      <c r="F113" s="100" t="s">
        <v>340</v>
      </c>
      <c r="G113" s="113">
        <f>VLOOKUP(B113,'MEMÓRIA DE CÁLCULO'!$B:$H,7,)</f>
        <v>3</v>
      </c>
      <c r="H113" s="108">
        <v>32.729999999999997</v>
      </c>
      <c r="I113" s="108">
        <v>7.68</v>
      </c>
      <c r="J113" s="128">
        <f t="shared" si="4"/>
        <v>121.22999999999999</v>
      </c>
      <c r="K113" s="271"/>
    </row>
    <row r="114" spans="1:11" x14ac:dyDescent="0.25">
      <c r="B114" s="125" t="s">
        <v>721</v>
      </c>
      <c r="C114" s="112" t="s">
        <v>1187</v>
      </c>
      <c r="D114" s="185" t="s">
        <v>717</v>
      </c>
      <c r="E114" s="102" t="str">
        <f>VLOOKUP(B114,'MEMÓRIA DE CÁLCULO'!$B:$H,3,)</f>
        <v>CONECTOR PARA HASTE DE ATERRAMENTO 3/4"</v>
      </c>
      <c r="F114" s="100" t="s">
        <v>340</v>
      </c>
      <c r="G114" s="113">
        <f>VLOOKUP(B114,'MEMÓRIA DE CÁLCULO'!$B:$H,7,)</f>
        <v>4</v>
      </c>
      <c r="H114" s="108">
        <v>10.81</v>
      </c>
      <c r="I114" s="108">
        <v>7.68</v>
      </c>
      <c r="J114" s="128">
        <f t="shared" si="4"/>
        <v>73.960000000000008</v>
      </c>
      <c r="K114" s="271"/>
    </row>
    <row r="115" spans="1:11" ht="15" customHeight="1" x14ac:dyDescent="0.25">
      <c r="B115" s="29"/>
      <c r="C115" s="215"/>
      <c r="D115" s="215"/>
      <c r="E115" s="174"/>
      <c r="F115" s="13"/>
      <c r="G115" s="216"/>
      <c r="H115" s="217"/>
      <c r="I115" s="217"/>
      <c r="J115" s="218"/>
      <c r="K115" s="271"/>
    </row>
    <row r="116" spans="1:11" s="25" customFormat="1" ht="15" x14ac:dyDescent="0.25">
      <c r="B116" s="586" t="s">
        <v>32</v>
      </c>
      <c r="C116" s="587"/>
      <c r="D116" s="587"/>
      <c r="E116" s="587"/>
      <c r="F116" s="587"/>
      <c r="G116" s="587"/>
      <c r="H116" s="587"/>
      <c r="I116" s="588"/>
      <c r="J116" s="53">
        <f>J118+J163+J190+J208</f>
        <v>50924.399669999999</v>
      </c>
      <c r="K116" s="271"/>
    </row>
    <row r="117" spans="1:11" s="25" customFormat="1" ht="15" x14ac:dyDescent="0.25">
      <c r="B117" s="22">
        <v>7</v>
      </c>
      <c r="C117" s="591" t="s">
        <v>63</v>
      </c>
      <c r="D117" s="591"/>
      <c r="E117" s="591"/>
      <c r="F117" s="591"/>
      <c r="G117" s="591"/>
      <c r="H117" s="591"/>
      <c r="I117" s="591"/>
      <c r="J117" s="592"/>
      <c r="K117" s="271"/>
    </row>
    <row r="118" spans="1:11" s="25" customFormat="1" ht="15" x14ac:dyDescent="0.25">
      <c r="B118" s="593" t="s">
        <v>1254</v>
      </c>
      <c r="C118" s="594"/>
      <c r="D118" s="594"/>
      <c r="E118" s="594"/>
      <c r="F118" s="594"/>
      <c r="G118" s="594"/>
      <c r="H118" s="594"/>
      <c r="I118" s="594"/>
      <c r="J118" s="116">
        <f>SUM(J119:J162)</f>
        <v>17951.176799999997</v>
      </c>
      <c r="K118" s="271"/>
    </row>
    <row r="119" spans="1:11" s="25" customFormat="1" ht="15" x14ac:dyDescent="0.25">
      <c r="B119" s="237" t="s">
        <v>22</v>
      </c>
      <c r="C119" s="105" t="s">
        <v>462</v>
      </c>
      <c r="D119" s="238">
        <f>VLOOKUP(B119,'MEMÓRIA DE CÁLCULO'!B:H,2,)</f>
        <v>80810</v>
      </c>
      <c r="E119" s="102" t="str">
        <f>VLOOKUP(B119,'MEMÓRIA DE CÁLCULO'!B:H,3,)</f>
        <v>TORNEIRA DE PAREDE PARA TANQUE COM AREJADOR DIÂMETRO DE 1/2" E 3/4"</v>
      </c>
      <c r="F119" s="106" t="s">
        <v>340</v>
      </c>
      <c r="G119" s="106">
        <f>VLOOKUP(B119,'MEMÓRIA DE CÁLCULO'!B:H,7,)</f>
        <v>3</v>
      </c>
      <c r="H119" s="117">
        <v>45.4</v>
      </c>
      <c r="I119" s="117">
        <v>38.42</v>
      </c>
      <c r="J119" s="130">
        <f>(H119+I119)*G119</f>
        <v>251.45999999999998</v>
      </c>
      <c r="K119" s="271"/>
    </row>
    <row r="120" spans="1:11" s="25" customFormat="1" ht="15" x14ac:dyDescent="0.25">
      <c r="B120" s="237" t="s">
        <v>33</v>
      </c>
      <c r="C120" s="105" t="s">
        <v>462</v>
      </c>
      <c r="D120" s="238">
        <f>VLOOKUP(B120,'MEMÓRIA DE CÁLCULO'!B:H,2,)</f>
        <v>80811</v>
      </c>
      <c r="E120" s="102" t="str">
        <f>VLOOKUP(B120,'MEMÓRIA DE CÁLCULO'!B:H,3,)</f>
        <v>TORNEIRA DE JARDIM COM BICO PARA MANGUEIRA DIÂMETRO DE 1/2" E 3/4"</v>
      </c>
      <c r="F120" s="106" t="s">
        <v>340</v>
      </c>
      <c r="G120" s="106">
        <f>VLOOKUP(B120,'MEMÓRIA DE CÁLCULO'!B:H,7,)</f>
        <v>3</v>
      </c>
      <c r="H120" s="117">
        <v>52.5</v>
      </c>
      <c r="I120" s="117">
        <v>5.12</v>
      </c>
      <c r="J120" s="130">
        <f t="shared" ref="J120:J183" si="5">(H120+I120)*G120</f>
        <v>172.85999999999999</v>
      </c>
      <c r="K120" s="271"/>
    </row>
    <row r="121" spans="1:11" s="25" customFormat="1" ht="15" x14ac:dyDescent="0.25">
      <c r="B121" s="237" t="s">
        <v>64</v>
      </c>
      <c r="C121" s="105" t="s">
        <v>462</v>
      </c>
      <c r="D121" s="238">
        <f>VLOOKUP(B121,'MEMÓRIA DE CÁLCULO'!B:H,2,)</f>
        <v>80721</v>
      </c>
      <c r="E121" s="102" t="str">
        <f>VLOOKUP(B121,'MEMÓRIA DE CÁLCULO'!B:H,3,)</f>
        <v>CHUVEIRO ELÉTRICO EM PVC COM BRAÇO METÁLICO</v>
      </c>
      <c r="F121" s="106" t="s">
        <v>340</v>
      </c>
      <c r="G121" s="106">
        <f>VLOOKUP(B121,'MEMÓRIA DE CÁLCULO'!B:H,7,)</f>
        <v>10</v>
      </c>
      <c r="H121" s="117">
        <v>75.25</v>
      </c>
      <c r="I121" s="117">
        <v>12.81</v>
      </c>
      <c r="J121" s="130">
        <f t="shared" si="5"/>
        <v>880.6</v>
      </c>
      <c r="K121" s="271"/>
    </row>
    <row r="122" spans="1:11" s="25" customFormat="1" ht="15" x14ac:dyDescent="0.25">
      <c r="B122" s="237" t="s">
        <v>65</v>
      </c>
      <c r="C122" s="105" t="s">
        <v>462</v>
      </c>
      <c r="D122" s="238">
        <f>VLOOKUP(B122,'MEMÓRIA DE CÁLCULO'!B:H,2,)</f>
        <v>80590</v>
      </c>
      <c r="E122" s="102" t="str">
        <f>VLOOKUP(B122,'MEMÓRIA DE CÁLCULO'!B:H,3,)</f>
        <v>CUBA DE LOUCA DE EMBUTIR OVAL MÉDIA</v>
      </c>
      <c r="F122" s="106" t="s">
        <v>340</v>
      </c>
      <c r="G122" s="106">
        <f>VLOOKUP(B122,'MEMÓRIA DE CÁLCULO'!B:H,7,)</f>
        <v>6</v>
      </c>
      <c r="H122" s="117">
        <v>100.84</v>
      </c>
      <c r="I122" s="117">
        <v>9.99</v>
      </c>
      <c r="J122" s="130">
        <f t="shared" si="5"/>
        <v>664.98</v>
      </c>
      <c r="K122" s="271"/>
    </row>
    <row r="123" spans="1:11" s="25" customFormat="1" ht="28.5" x14ac:dyDescent="0.25">
      <c r="B123" s="237" t="s">
        <v>66</v>
      </c>
      <c r="C123" s="105" t="s">
        <v>462</v>
      </c>
      <c r="D123" s="238">
        <f>VLOOKUP(B123,'MEMÓRIA DE CÁLCULO'!B:H,2,)</f>
        <v>80572</v>
      </c>
      <c r="E123" s="102" t="str">
        <f>VLOOKUP(B123,'MEMÓRIA DE CÁLCULO'!B:H,3,)</f>
        <v>TORNEIRA DE MESA COM FECHAMENTO AUTOMÁTICO TEMPORIZADO PARA LAVATÓRIO DIÂMETRO DE 1/2"</v>
      </c>
      <c r="F123" s="106" t="s">
        <v>340</v>
      </c>
      <c r="G123" s="106">
        <f>VLOOKUP(B123,'MEMÓRIA DE CÁLCULO'!B:H,7,)</f>
        <v>19</v>
      </c>
      <c r="H123" s="117">
        <v>147.38999999999999</v>
      </c>
      <c r="I123" s="117">
        <v>5.12</v>
      </c>
      <c r="J123" s="130">
        <f t="shared" si="5"/>
        <v>2897.6899999999996</v>
      </c>
      <c r="K123" s="271"/>
    </row>
    <row r="124" spans="1:11" s="21" customFormat="1" x14ac:dyDescent="0.25">
      <c r="A124" s="43"/>
      <c r="B124" s="237" t="s">
        <v>67</v>
      </c>
      <c r="C124" s="105" t="s">
        <v>462</v>
      </c>
      <c r="D124" s="238">
        <f>VLOOKUP(B124,'MEMÓRIA DE CÁLCULO'!B:H,2,)</f>
        <v>80656</v>
      </c>
      <c r="E124" s="102" t="str">
        <f>VLOOKUP(B124,'MEMÓRIA DE CÁLCULO'!B:H,3,)</f>
        <v>TORNEIRA DE MESA PARA PIA DIÂMETRO DE 1/2" - BICA MÓVEL</v>
      </c>
      <c r="F124" s="106" t="s">
        <v>340</v>
      </c>
      <c r="G124" s="106">
        <f>VLOOKUP(B124,'MEMÓRIA DE CÁLCULO'!B:H,7,)</f>
        <v>21</v>
      </c>
      <c r="H124" s="117">
        <v>75.98</v>
      </c>
      <c r="I124" s="117">
        <v>5.12</v>
      </c>
      <c r="J124" s="130">
        <f t="shared" si="5"/>
        <v>1703.1000000000001</v>
      </c>
      <c r="K124" s="271"/>
    </row>
    <row r="125" spans="1:11" s="25" customFormat="1" ht="15" x14ac:dyDescent="0.25">
      <c r="B125" s="237" t="s">
        <v>68</v>
      </c>
      <c r="C125" s="105" t="s">
        <v>462</v>
      </c>
      <c r="D125" s="238">
        <f>VLOOKUP(B125,'MEMÓRIA DE CÁLCULO'!B:H,2,)</f>
        <v>80556</v>
      </c>
      <c r="E125" s="102" t="str">
        <f>VLOOKUP(B125,'MEMÓRIA DE CÁLCULO'!B:H,3,)</f>
        <v>LIGAÇÃO FLEXÍVEL PVC DIAM.1/2" (ENGATE)</v>
      </c>
      <c r="F125" s="106" t="s">
        <v>340</v>
      </c>
      <c r="G125" s="106">
        <f>VLOOKUP(B125,'MEMÓRIA DE CÁLCULO'!B:H,7,)</f>
        <v>30</v>
      </c>
      <c r="H125" s="117">
        <v>3.06</v>
      </c>
      <c r="I125" s="117">
        <v>6.4</v>
      </c>
      <c r="J125" s="130">
        <f t="shared" si="5"/>
        <v>283.8</v>
      </c>
      <c r="K125" s="271"/>
    </row>
    <row r="126" spans="1:11" s="25" customFormat="1" ht="15" x14ac:dyDescent="0.25">
      <c r="B126" s="237" t="s">
        <v>69</v>
      </c>
      <c r="C126" s="105" t="s">
        <v>462</v>
      </c>
      <c r="D126" s="238">
        <f>VLOOKUP(B126,'MEMÓRIA DE CÁLCULO'!B:H,2,)</f>
        <v>80561</v>
      </c>
      <c r="E126" s="102" t="str">
        <f>VLOOKUP(B126,'MEMÓRIA DE CÁLCULO'!B:H,3,)</f>
        <v>SIFAO P/LAVATORIO PVC DIAM.1"X1.1/2"</v>
      </c>
      <c r="F126" s="106" t="s">
        <v>340</v>
      </c>
      <c r="G126" s="106">
        <f>VLOOKUP(B126,'MEMÓRIA DE CÁLCULO'!B:H,7,)</f>
        <v>18</v>
      </c>
      <c r="H126" s="117">
        <v>11.33</v>
      </c>
      <c r="I126" s="117">
        <v>9.2200000000000006</v>
      </c>
      <c r="J126" s="130">
        <f t="shared" si="5"/>
        <v>369.90000000000003</v>
      </c>
      <c r="K126" s="271"/>
    </row>
    <row r="127" spans="1:11" s="25" customFormat="1" ht="15" x14ac:dyDescent="0.25">
      <c r="B127" s="237" t="s">
        <v>70</v>
      </c>
      <c r="C127" s="105" t="s">
        <v>462</v>
      </c>
      <c r="D127" s="238">
        <f>VLOOKUP(B127,'MEMÓRIA DE CÁLCULO'!B:H,2,)</f>
        <v>80671</v>
      </c>
      <c r="E127" s="102" t="str">
        <f>VLOOKUP(B127,'MEMÓRIA DE CÁLCULO'!B:H,3,)</f>
        <v>SIFAO PVC P/PIA 1.1/2" X 2"</v>
      </c>
      <c r="F127" s="106" t="s">
        <v>340</v>
      </c>
      <c r="G127" s="106">
        <f>VLOOKUP(B127,'MEMÓRIA DE CÁLCULO'!B:H,7,)</f>
        <v>18</v>
      </c>
      <c r="H127" s="117">
        <v>10.53</v>
      </c>
      <c r="I127" s="117">
        <v>9.2200000000000006</v>
      </c>
      <c r="J127" s="130">
        <f t="shared" si="5"/>
        <v>355.5</v>
      </c>
      <c r="K127" s="271"/>
    </row>
    <row r="128" spans="1:11" s="25" customFormat="1" ht="15" x14ac:dyDescent="0.25">
      <c r="B128" s="237" t="s">
        <v>499</v>
      </c>
      <c r="C128" s="105" t="s">
        <v>462</v>
      </c>
      <c r="D128" s="238">
        <f>VLOOKUP(B128,'MEMÓRIA DE CÁLCULO'!B:H,2,)</f>
        <v>80532</v>
      </c>
      <c r="E128" s="102" t="str">
        <f>VLOOKUP(B128,'MEMÓRIA DE CÁLCULO'!B:H,3,)</f>
        <v>PORTA PAPEL HIGIÊNICO EM METAL/ACABAMENTO CROMADO</v>
      </c>
      <c r="F128" s="106" t="s">
        <v>340</v>
      </c>
      <c r="G128" s="106">
        <f>VLOOKUP(B128,'MEMÓRIA DE CÁLCULO'!B:H,7,)</f>
        <v>4</v>
      </c>
      <c r="H128" s="117">
        <v>20.3</v>
      </c>
      <c r="I128" s="117">
        <v>8.9600000000000009</v>
      </c>
      <c r="J128" s="130">
        <f t="shared" si="5"/>
        <v>117.04</v>
      </c>
      <c r="K128" s="271"/>
    </row>
    <row r="129" spans="2:11" s="25" customFormat="1" ht="15" x14ac:dyDescent="0.25">
      <c r="B129" s="237" t="s">
        <v>500</v>
      </c>
      <c r="C129" s="105" t="s">
        <v>462</v>
      </c>
      <c r="D129" s="238">
        <f>VLOOKUP(B129,'MEMÓRIA DE CÁLCULO'!B:H,2,)</f>
        <v>80730</v>
      </c>
      <c r="E129" s="102" t="str">
        <f>VLOOKUP(B129,'MEMÓRIA DE CÁLCULO'!B:H,3,)</f>
        <v>CABIDE TIPO GANCHO EM LOUÇA</v>
      </c>
      <c r="F129" s="106" t="s">
        <v>340</v>
      </c>
      <c r="G129" s="106">
        <f>VLOOKUP(B129,'MEMÓRIA DE CÁLCULO'!B:H,7,)</f>
        <v>10</v>
      </c>
      <c r="H129" s="117">
        <v>12.64</v>
      </c>
      <c r="I129" s="117">
        <v>10.25</v>
      </c>
      <c r="J129" s="130">
        <f t="shared" si="5"/>
        <v>228.9</v>
      </c>
      <c r="K129" s="271"/>
    </row>
    <row r="130" spans="2:11" s="25" customFormat="1" ht="30" customHeight="1" x14ac:dyDescent="0.25">
      <c r="B130" s="237" t="s">
        <v>501</v>
      </c>
      <c r="C130" s="105" t="s">
        <v>30</v>
      </c>
      <c r="D130" s="238" t="str">
        <f>VLOOKUP(B130,'MEMÓRIA DE CÁLCULO'!B:H,2,)</f>
        <v>SINAPI 95547</v>
      </c>
      <c r="E130" s="102" t="str">
        <f>VLOOKUP(B130,'MEMÓRIA DE CÁLCULO'!B:H,3,)</f>
        <v>SABONETEIRA PLASTICA TIPO DISPENSER PARA SABONETE LIQUIDO COM RESERVATORIO UN 800 A 1500 ML, INCLUSO FIXAÇÃO</v>
      </c>
      <c r="F130" s="106" t="s">
        <v>340</v>
      </c>
      <c r="G130" s="106">
        <f>VLOOKUP(B130,'MEMÓRIA DE CÁLCULO'!B:H,7,)</f>
        <v>34</v>
      </c>
      <c r="H130" s="117">
        <v>38.9</v>
      </c>
      <c r="I130" s="117">
        <v>5.59</v>
      </c>
      <c r="J130" s="130">
        <f t="shared" si="5"/>
        <v>1512.6599999999999</v>
      </c>
      <c r="K130" s="271"/>
    </row>
    <row r="131" spans="2:11" s="25" customFormat="1" ht="15" x14ac:dyDescent="0.25">
      <c r="B131" s="237" t="s">
        <v>502</v>
      </c>
      <c r="C131" s="105" t="s">
        <v>462</v>
      </c>
      <c r="D131" s="238">
        <f>VLOOKUP(B131,'MEMÓRIA DE CÁLCULO'!B:H,2,)</f>
        <v>80686</v>
      </c>
      <c r="E131" s="102" t="str">
        <f>VLOOKUP(B131,'MEMÓRIA DE CÁLCULO'!B:H,3,)</f>
        <v>CUBA INOX 56X34X17CM E=0,6MM-AÇO 304 (CUBA Nº2)</v>
      </c>
      <c r="F131" s="106" t="s">
        <v>340</v>
      </c>
      <c r="G131" s="106">
        <f>VLOOKUP(B131,'MEMÓRIA DE CÁLCULO'!B:H,7,)</f>
        <v>6</v>
      </c>
      <c r="H131" s="117">
        <v>237.85</v>
      </c>
      <c r="I131" s="117">
        <v>9.99</v>
      </c>
      <c r="J131" s="130">
        <f t="shared" si="5"/>
        <v>1487.04</v>
      </c>
      <c r="K131" s="271"/>
    </row>
    <row r="132" spans="2:11" s="25" customFormat="1" ht="15" x14ac:dyDescent="0.25">
      <c r="B132" s="237" t="s">
        <v>503</v>
      </c>
      <c r="C132" s="105" t="s">
        <v>462</v>
      </c>
      <c r="D132" s="238">
        <f>VLOOKUP(B132,'MEMÓRIA DE CÁLCULO'!B:H,2,)</f>
        <v>80687</v>
      </c>
      <c r="E132" s="102" t="str">
        <f>VLOOKUP(B132,'MEMÓRIA DE CÁLCULO'!B:H,3,)</f>
        <v>CUBA INOX 35X40X15CM E=0,6MM-AÇO 304 (CUBA Nº 3)</v>
      </c>
      <c r="F132" s="106" t="s">
        <v>340</v>
      </c>
      <c r="G132" s="106">
        <f>VLOOKUP(B132,'MEMÓRIA DE CÁLCULO'!B:H,7,)</f>
        <v>3</v>
      </c>
      <c r="H132" s="117">
        <v>92.01</v>
      </c>
      <c r="I132" s="117">
        <v>9.99</v>
      </c>
      <c r="J132" s="130">
        <f t="shared" si="5"/>
        <v>306</v>
      </c>
      <c r="K132" s="271"/>
    </row>
    <row r="133" spans="2:11" s="25" customFormat="1" ht="15" x14ac:dyDescent="0.25">
      <c r="B133" s="237" t="s">
        <v>504</v>
      </c>
      <c r="C133" s="105" t="s">
        <v>462</v>
      </c>
      <c r="D133" s="238">
        <f>VLOOKUP(B133,'MEMÓRIA DE CÁLCULO'!B:H,2,)</f>
        <v>80693</v>
      </c>
      <c r="E133" s="102" t="str">
        <f>VLOOKUP(B133,'MEMÓRIA DE CÁLCULO'!B:H,3,)</f>
        <v>TANQUE (PANELAO) INOX 60 X 70 X 40 CM CH.18</v>
      </c>
      <c r="F133" s="106" t="s">
        <v>340</v>
      </c>
      <c r="G133" s="106">
        <f>VLOOKUP(B133,'MEMÓRIA DE CÁLCULO'!B:H,7,)</f>
        <v>1</v>
      </c>
      <c r="H133" s="117">
        <v>1059.8699999999999</v>
      </c>
      <c r="I133" s="117">
        <v>12.81</v>
      </c>
      <c r="J133" s="130">
        <f t="shared" si="5"/>
        <v>1072.6799999999998</v>
      </c>
      <c r="K133" s="271"/>
    </row>
    <row r="134" spans="2:11" s="25" customFormat="1" ht="15" x14ac:dyDescent="0.25">
      <c r="B134" s="237" t="s">
        <v>505</v>
      </c>
      <c r="C134" s="105" t="s">
        <v>462</v>
      </c>
      <c r="D134" s="238">
        <f>VLOOKUP(B134,'MEMÓRIA DE CÁLCULO'!B:H,2,)</f>
        <v>80801</v>
      </c>
      <c r="E134" s="102" t="str">
        <f>VLOOKUP(B134,'MEMÓRIA DE CÁLCULO'!B:H,3,)</f>
        <v>TANQUE MARMORE/GRANITO SINTÉTICO C/UMA CUBA E 1 BATEDOR</v>
      </c>
      <c r="F134" s="106" t="s">
        <v>340</v>
      </c>
      <c r="G134" s="106">
        <f>VLOOKUP(B134,'MEMÓRIA DE CÁLCULO'!B:H,7,)</f>
        <v>1</v>
      </c>
      <c r="H134" s="117">
        <v>234.87</v>
      </c>
      <c r="I134" s="117">
        <v>25.61</v>
      </c>
      <c r="J134" s="130">
        <f t="shared" si="5"/>
        <v>260.48</v>
      </c>
      <c r="K134" s="271"/>
    </row>
    <row r="135" spans="2:11" s="25" customFormat="1" ht="24" customHeight="1" x14ac:dyDescent="0.25">
      <c r="B135" s="237" t="s">
        <v>82</v>
      </c>
      <c r="C135" s="105" t="s">
        <v>462</v>
      </c>
      <c r="D135" s="238">
        <f>VLOOKUP(B135,'MEMÓRIA DE CÁLCULO'!B:H,2,)</f>
        <v>80803</v>
      </c>
      <c r="E135" s="102" t="str">
        <f>VLOOKUP(B135,'MEMÓRIA DE CÁLCULO'!B:H,3,)</f>
        <v>TANQUE MARMORE/GRANITO SINTÉTICO / 1 BATEDOR</v>
      </c>
      <c r="F135" s="106" t="s">
        <v>340</v>
      </c>
      <c r="G135" s="106">
        <f>VLOOKUP(B135,'MEMÓRIA DE CÁLCULO'!B:H,7,)</f>
        <v>1</v>
      </c>
      <c r="H135" s="117">
        <v>152.88</v>
      </c>
      <c r="I135" s="117">
        <v>20.49</v>
      </c>
      <c r="J135" s="130">
        <f t="shared" si="5"/>
        <v>173.37</v>
      </c>
      <c r="K135" s="271"/>
    </row>
    <row r="136" spans="2:11" s="25" customFormat="1" ht="15" x14ac:dyDescent="0.25">
      <c r="B136" s="237" t="s">
        <v>78</v>
      </c>
      <c r="C136" s="105" t="s">
        <v>462</v>
      </c>
      <c r="D136" s="238">
        <f>VLOOKUP(B136,'MEMÓRIA DE CÁLCULO'!B:H,2,)</f>
        <v>80680</v>
      </c>
      <c r="E136" s="102" t="str">
        <f>VLOOKUP(B136,'MEMÓRIA DE CÁLCULO'!B:H,3,)</f>
        <v>VALVULA P/PIA TIPO AMERICANA DIAM.3.1/2" (METAL)</v>
      </c>
      <c r="F136" s="106" t="s">
        <v>340</v>
      </c>
      <c r="G136" s="106">
        <f>VLOOKUP(B136,'MEMÓRIA DE CÁLCULO'!B:H,7,)</f>
        <v>8</v>
      </c>
      <c r="H136" s="117">
        <v>42.93</v>
      </c>
      <c r="I136" s="117">
        <v>5.63</v>
      </c>
      <c r="J136" s="130">
        <f t="shared" si="5"/>
        <v>388.48</v>
      </c>
      <c r="K136" s="271"/>
    </row>
    <row r="137" spans="2:11" s="25" customFormat="1" ht="15" x14ac:dyDescent="0.25">
      <c r="B137" s="237" t="s">
        <v>79</v>
      </c>
      <c r="C137" s="105" t="s">
        <v>462</v>
      </c>
      <c r="D137" s="238">
        <f>VLOOKUP(B137,'MEMÓRIA DE CÁLCULO'!B:H,2,)</f>
        <v>80510</v>
      </c>
      <c r="E137" s="102" t="str">
        <f>VLOOKUP(B137,'MEMÓRIA DE CÁLCULO'!B:H,3,)</f>
        <v>ANEL DE VEDAÇÃO PARA VASO SANITÁRIO</v>
      </c>
      <c r="F137" s="106" t="s">
        <v>340</v>
      </c>
      <c r="G137" s="106">
        <f>VLOOKUP(B137,'MEMÓRIA DE CÁLCULO'!B:H,7,)</f>
        <v>6</v>
      </c>
      <c r="H137" s="117">
        <v>1.69</v>
      </c>
      <c r="I137" s="117">
        <v>3.85</v>
      </c>
      <c r="J137" s="130">
        <f t="shared" si="5"/>
        <v>33.24</v>
      </c>
      <c r="K137" s="271"/>
    </row>
    <row r="138" spans="2:11" s="25" customFormat="1" ht="30.75" customHeight="1" x14ac:dyDescent="0.25">
      <c r="B138" s="237" t="s">
        <v>80</v>
      </c>
      <c r="C138" s="105" t="s">
        <v>462</v>
      </c>
      <c r="D138" s="238">
        <f>VLOOKUP(B138,'MEMÓRIA DE CÁLCULO'!B:H,2,)</f>
        <v>80520</v>
      </c>
      <c r="E138" s="102" t="str">
        <f>VLOOKUP(B138,'MEMÓRIA DE CÁLCULO'!B:H,3,)</f>
        <v>CONJUNTO DE FIXACAO P/VASO SANITARIO (PAR)</v>
      </c>
      <c r="F138" s="106" t="s">
        <v>1015</v>
      </c>
      <c r="G138" s="106">
        <f>VLOOKUP(B138,'MEMÓRIA DE CÁLCULO'!B:H,7,)</f>
        <v>6</v>
      </c>
      <c r="H138" s="117">
        <v>2.87</v>
      </c>
      <c r="I138" s="117">
        <v>5.12</v>
      </c>
      <c r="J138" s="130">
        <f t="shared" si="5"/>
        <v>47.94</v>
      </c>
      <c r="K138" s="271"/>
    </row>
    <row r="139" spans="2:11" s="25" customFormat="1" ht="15" x14ac:dyDescent="0.25">
      <c r="B139" s="237" t="s">
        <v>81</v>
      </c>
      <c r="C139" s="105" t="s">
        <v>462</v>
      </c>
      <c r="D139" s="238">
        <f>VLOOKUP(B139,'MEMÓRIA DE CÁLCULO'!B:H,2,)</f>
        <v>81005</v>
      </c>
      <c r="E139" s="102" t="str">
        <f>VLOOKUP(B139,'MEMÓRIA DE CÁLCULO'!B:H,3,)</f>
        <v>TUBO SOLDAVEL PVC MARROM DIAM.(40 mm)</v>
      </c>
      <c r="F139" s="106" t="s">
        <v>29</v>
      </c>
      <c r="G139" s="106">
        <f>VLOOKUP(B139,'MEMÓRIA DE CÁLCULO'!B:H,7,)</f>
        <v>70.400000000000006</v>
      </c>
      <c r="H139" s="115">
        <v>14.29</v>
      </c>
      <c r="I139" s="115">
        <v>5.07</v>
      </c>
      <c r="J139" s="131">
        <f t="shared" si="5"/>
        <v>1362.944</v>
      </c>
      <c r="K139" s="271"/>
    </row>
    <row r="140" spans="2:11" s="25" customFormat="1" ht="15" x14ac:dyDescent="0.25">
      <c r="B140" s="237" t="s">
        <v>506</v>
      </c>
      <c r="C140" s="105" t="s">
        <v>462</v>
      </c>
      <c r="D140" s="238">
        <f>VLOOKUP(B140,'MEMÓRIA DE CÁLCULO'!B:H,2,)</f>
        <v>81004</v>
      </c>
      <c r="E140" s="102" t="str">
        <f>VLOOKUP(B140,'MEMÓRIA DE CÁLCULO'!B:H,3,)</f>
        <v>TUBO SOLDAVEL PVC MARROM DIAMETRO 32 mm</v>
      </c>
      <c r="F140" s="106" t="s">
        <v>29</v>
      </c>
      <c r="G140" s="106">
        <f>VLOOKUP(B140,'MEMÓRIA DE CÁLCULO'!B:H,7,)</f>
        <v>13.74</v>
      </c>
      <c r="H140" s="115">
        <v>9.82</v>
      </c>
      <c r="I140" s="115">
        <v>3.3</v>
      </c>
      <c r="J140" s="131">
        <f t="shared" si="5"/>
        <v>180.26880000000003</v>
      </c>
      <c r="K140" s="271"/>
    </row>
    <row r="141" spans="2:11" s="25" customFormat="1" ht="15" x14ac:dyDescent="0.25">
      <c r="B141" s="237" t="s">
        <v>507</v>
      </c>
      <c r="C141" s="105" t="s">
        <v>462</v>
      </c>
      <c r="D141" s="238">
        <f>VLOOKUP(B141,'MEMÓRIA DE CÁLCULO'!B:H,2,)</f>
        <v>81003</v>
      </c>
      <c r="E141" s="102" t="str">
        <f>VLOOKUP(B141,'MEMÓRIA DE CÁLCULO'!B:H,3,)</f>
        <v>TUBO SOLDAVEL PVC MARROM DIAMETRO 25 mm</v>
      </c>
      <c r="F141" s="106" t="s">
        <v>29</v>
      </c>
      <c r="G141" s="106">
        <f>VLOOKUP(B141,'MEMÓRIA DE CÁLCULO'!B:H,7,)</f>
        <v>52.32</v>
      </c>
      <c r="H141" s="115">
        <v>4.37</v>
      </c>
      <c r="I141" s="115">
        <v>3.08</v>
      </c>
      <c r="J141" s="131">
        <f t="shared" si="5"/>
        <v>389.78399999999999</v>
      </c>
      <c r="K141" s="271"/>
    </row>
    <row r="142" spans="2:11" s="25" customFormat="1" ht="15" x14ac:dyDescent="0.25">
      <c r="B142" s="237" t="s">
        <v>508</v>
      </c>
      <c r="C142" s="105" t="s">
        <v>462</v>
      </c>
      <c r="D142" s="238">
        <f>VLOOKUP(B142,'MEMÓRIA DE CÁLCULO'!B:H,2,)</f>
        <v>80926</v>
      </c>
      <c r="E142" s="102" t="str">
        <f>VLOOKUP(B142,'MEMÓRIA DE CÁLCULO'!B:H,3,)</f>
        <v>REGISTRO DE GAVETA C/CANOPLA DIAMETRO 3/4"</v>
      </c>
      <c r="F142" s="106" t="s">
        <v>340</v>
      </c>
      <c r="G142" s="106">
        <f>VLOOKUP(B142,'MEMÓRIA DE CÁLCULO'!B:H,7,)</f>
        <v>5</v>
      </c>
      <c r="H142" s="115">
        <v>58.21</v>
      </c>
      <c r="I142" s="115">
        <v>15.62</v>
      </c>
      <c r="J142" s="131">
        <f t="shared" si="5"/>
        <v>369.15</v>
      </c>
      <c r="K142" s="271"/>
    </row>
    <row r="143" spans="2:11" s="25" customFormat="1" ht="33" customHeight="1" x14ac:dyDescent="0.25">
      <c r="B143" s="237" t="s">
        <v>509</v>
      </c>
      <c r="C143" s="105" t="s">
        <v>462</v>
      </c>
      <c r="D143" s="238">
        <f>VLOOKUP(B143,'MEMÓRIA DE CÁLCULO'!B:H,2,)</f>
        <v>80946</v>
      </c>
      <c r="E143" s="102" t="str">
        <f>VLOOKUP(B143,'MEMÓRIA DE CÁLCULO'!B:H,3,)</f>
        <v>REGISTRO DE PRESSAO C/CANOPLA CROMADA DIAM.3/4"</v>
      </c>
      <c r="F143" s="106" t="s">
        <v>340</v>
      </c>
      <c r="G143" s="106">
        <f>VLOOKUP(B143,'MEMÓRIA DE CÁLCULO'!B:H,7,)</f>
        <v>6</v>
      </c>
      <c r="H143" s="115">
        <v>54.91</v>
      </c>
      <c r="I143" s="115">
        <v>15.62</v>
      </c>
      <c r="J143" s="131">
        <f t="shared" si="5"/>
        <v>423.18</v>
      </c>
      <c r="K143" s="271"/>
    </row>
    <row r="144" spans="2:11" s="25" customFormat="1" ht="15" x14ac:dyDescent="0.25">
      <c r="B144" s="237" t="s">
        <v>510</v>
      </c>
      <c r="C144" s="105" t="s">
        <v>462</v>
      </c>
      <c r="D144" s="238">
        <f>VLOOKUP(B144,'MEMÓRIA DE CÁLCULO'!B:H,2,)</f>
        <v>81057</v>
      </c>
      <c r="E144" s="102" t="str">
        <f>VLOOKUP(B144,'MEMÓRIA DE CÁLCULO'!B:H,3,)</f>
        <v>ADAPTADOR SOLD.C/FLANGES LIV.P/CX.DAGUA 40X1.1/4"</v>
      </c>
      <c r="F144" s="106" t="s">
        <v>340</v>
      </c>
      <c r="G144" s="106">
        <f>VLOOKUP(B144,'MEMÓRIA DE CÁLCULO'!B:H,7,)</f>
        <v>1</v>
      </c>
      <c r="H144" s="115">
        <v>41.55</v>
      </c>
      <c r="I144" s="115">
        <v>3.59</v>
      </c>
      <c r="J144" s="131">
        <f t="shared" si="5"/>
        <v>45.14</v>
      </c>
      <c r="K144" s="271"/>
    </row>
    <row r="145" spans="2:11" s="25" customFormat="1" ht="15" x14ac:dyDescent="0.25">
      <c r="B145" s="237" t="s">
        <v>511</v>
      </c>
      <c r="C145" s="105" t="s">
        <v>462</v>
      </c>
      <c r="D145" s="238">
        <f>VLOOKUP(B145,'MEMÓRIA DE CÁLCULO'!B:H,2,)</f>
        <v>80905</v>
      </c>
      <c r="E145" s="102" t="str">
        <f>VLOOKUP(B145,'MEMÓRIA DE CÁLCULO'!B:H,3,)</f>
        <v>REGISTRO DE GAVETA BRUTO DIAMETRO 1.1/2"</v>
      </c>
      <c r="F145" s="106" t="s">
        <v>340</v>
      </c>
      <c r="G145" s="106">
        <f>VLOOKUP(B145,'MEMÓRIA DE CÁLCULO'!B:H,7,)</f>
        <v>1</v>
      </c>
      <c r="H145" s="115">
        <v>65.069999999999993</v>
      </c>
      <c r="I145" s="115">
        <v>21.76</v>
      </c>
      <c r="J145" s="131">
        <f t="shared" si="5"/>
        <v>86.83</v>
      </c>
      <c r="K145" s="271"/>
    </row>
    <row r="146" spans="2:11" s="25" customFormat="1" ht="27" customHeight="1" x14ac:dyDescent="0.25">
      <c r="B146" s="237" t="s">
        <v>512</v>
      </c>
      <c r="C146" s="105" t="s">
        <v>30</v>
      </c>
      <c r="D146" s="238" t="str">
        <f>VLOOKUP(B146,'MEMÓRIA DE CÁLCULO'!B:H,2,)</f>
        <v>SINAPI 89570</v>
      </c>
      <c r="E146" s="102" t="str">
        <f>VLOOKUP(B146,'MEMÓRIA DE CÁLCULO'!B:H,3,)</f>
        <v>ADAPTADOR CURTO COM BOLSA E ROSCA PARA REGISTRO, PVC, SOLDÁVEL, DN 40MM X 1.1/2, INSTALADO EM PRUMADA DE ÁGUA - FORNECIMENTO E INSTALAÇÃO.</v>
      </c>
      <c r="F146" s="106" t="s">
        <v>340</v>
      </c>
      <c r="G146" s="106">
        <f>VLOOKUP(B146,'MEMÓRIA DE CÁLCULO'!B:H,7,)</f>
        <v>2</v>
      </c>
      <c r="H146" s="192">
        <v>11.28</v>
      </c>
      <c r="I146" s="192">
        <v>1.47</v>
      </c>
      <c r="J146" s="130">
        <f t="shared" si="5"/>
        <v>25.5</v>
      </c>
      <c r="K146" s="271"/>
    </row>
    <row r="147" spans="2:11" s="25" customFormat="1" ht="15" x14ac:dyDescent="0.25">
      <c r="B147" s="237" t="s">
        <v>513</v>
      </c>
      <c r="C147" s="105" t="s">
        <v>462</v>
      </c>
      <c r="D147" s="238">
        <f>VLOOKUP(B147,'MEMÓRIA DE CÁLCULO'!B:H,2,)</f>
        <v>81701</v>
      </c>
      <c r="E147" s="102" t="str">
        <f>VLOOKUP(B147,'MEMÓRIA DE CÁLCULO'!B:H,3,)</f>
        <v>CURVA 45 GRAUS DIAMETRO 40 MM</v>
      </c>
      <c r="F147" s="106" t="s">
        <v>340</v>
      </c>
      <c r="G147" s="106">
        <f>VLOOKUP(B147,'MEMÓRIA DE CÁLCULO'!B:H,7,)</f>
        <v>1</v>
      </c>
      <c r="H147" s="115">
        <v>2.2000000000000002</v>
      </c>
      <c r="I147" s="115">
        <v>6.4</v>
      </c>
      <c r="J147" s="131">
        <f t="shared" si="5"/>
        <v>8.6000000000000014</v>
      </c>
      <c r="K147" s="271"/>
    </row>
    <row r="148" spans="2:11" s="25" customFormat="1" ht="15" x14ac:dyDescent="0.25">
      <c r="B148" s="237" t="s">
        <v>514</v>
      </c>
      <c r="C148" s="105" t="s">
        <v>462</v>
      </c>
      <c r="D148" s="238">
        <f>VLOOKUP(B148,'MEMÓRIA DE CÁLCULO'!B:H,2,)</f>
        <v>81323</v>
      </c>
      <c r="E148" s="102" t="str">
        <f>VLOOKUP(B148,'MEMÓRIA DE CÁLCULO'!B:H,3,)</f>
        <v>JOELHO 90 GRAUS DIAMETRO 40 MM</v>
      </c>
      <c r="F148" s="106" t="s">
        <v>340</v>
      </c>
      <c r="G148" s="106">
        <f>VLOOKUP(B148,'MEMÓRIA DE CÁLCULO'!B:H,7,)</f>
        <v>2</v>
      </c>
      <c r="H148" s="115">
        <v>6.04</v>
      </c>
      <c r="I148" s="115">
        <v>7.17</v>
      </c>
      <c r="J148" s="131">
        <f t="shared" si="5"/>
        <v>26.42</v>
      </c>
      <c r="K148" s="271"/>
    </row>
    <row r="149" spans="2:11" s="25" customFormat="1" ht="15" x14ac:dyDescent="0.25">
      <c r="B149" s="237" t="s">
        <v>538</v>
      </c>
      <c r="C149" s="105" t="s">
        <v>462</v>
      </c>
      <c r="D149" s="238">
        <f>VLOOKUP(B149,'MEMÓRIA DE CÁLCULO'!B:H,2,)</f>
        <v>81422</v>
      </c>
      <c r="E149" s="102" t="str">
        <f>VLOOKUP(B149,'MEMÓRIA DE CÁLCULO'!B:H,3,)</f>
        <v>TE REDUCAO 90 GRAUS SOLDAVEL 40 X 32 mm</v>
      </c>
      <c r="F149" s="106" t="s">
        <v>340</v>
      </c>
      <c r="G149" s="106">
        <f>VLOOKUP(B149,'MEMÓRIA DE CÁLCULO'!B:H,7,)</f>
        <v>2</v>
      </c>
      <c r="H149" s="115">
        <v>11.71</v>
      </c>
      <c r="I149" s="115">
        <v>7.68</v>
      </c>
      <c r="J149" s="131">
        <f t="shared" si="5"/>
        <v>38.78</v>
      </c>
      <c r="K149" s="271"/>
    </row>
    <row r="150" spans="2:11" s="25" customFormat="1" ht="30" customHeight="1" x14ac:dyDescent="0.25">
      <c r="B150" s="237" t="s">
        <v>539</v>
      </c>
      <c r="C150" s="105" t="s">
        <v>462</v>
      </c>
      <c r="D150" s="238">
        <f>VLOOKUP(B150,'MEMÓRIA DE CÁLCULO'!B:H,2,)</f>
        <v>81340</v>
      </c>
      <c r="E150" s="102" t="str">
        <f>VLOOKUP(B150,'MEMÓRIA DE CÁLCULO'!B:H,3,)</f>
        <v>JOELHO REDUÇÃO 90º SOLDÁVEL 32 mm X 25 mm</v>
      </c>
      <c r="F150" s="106" t="s">
        <v>340</v>
      </c>
      <c r="G150" s="106">
        <f>VLOOKUP(B150,'MEMÓRIA DE CÁLCULO'!B:H,7,)</f>
        <v>1</v>
      </c>
      <c r="H150" s="115">
        <v>4.57</v>
      </c>
      <c r="I150" s="115">
        <v>4.6100000000000003</v>
      </c>
      <c r="J150" s="131">
        <f t="shared" si="5"/>
        <v>9.18</v>
      </c>
      <c r="K150" s="271"/>
    </row>
    <row r="151" spans="2:11" s="25" customFormat="1" ht="30" customHeight="1" x14ac:dyDescent="0.25">
      <c r="B151" s="237" t="s">
        <v>540</v>
      </c>
      <c r="C151" s="105" t="s">
        <v>30</v>
      </c>
      <c r="D151" s="238" t="str">
        <f>VLOOKUP(B151,'MEMÓRIA DE CÁLCULO'!B:H,2,)</f>
        <v>SINAPI 89383</v>
      </c>
      <c r="E151" s="102" t="str">
        <f>VLOOKUP(B151,'MEMÓRIA DE CÁLCULO'!B:H,3,)</f>
        <v>ADAPTADOR CURTO COM BOLSA E ROSCA PARA REGISTRO, PVC, SOLDÁVEL, DN 25MM X UN 3/4, INSTALADO EM RAMAL OU SUB-RAMAL DE ÁGUA</v>
      </c>
      <c r="F151" s="106" t="s">
        <v>340</v>
      </c>
      <c r="G151" s="106">
        <f>VLOOKUP(B151,'MEMÓRIA DE CÁLCULO'!B:H,7,)</f>
        <v>24</v>
      </c>
      <c r="H151" s="192">
        <v>2.96</v>
      </c>
      <c r="I151" s="192">
        <v>2.52</v>
      </c>
      <c r="J151" s="130">
        <f t="shared" si="5"/>
        <v>131.52000000000001</v>
      </c>
      <c r="K151" s="271"/>
    </row>
    <row r="152" spans="2:11" s="25" customFormat="1" ht="15" x14ac:dyDescent="0.25">
      <c r="B152" s="237" t="s">
        <v>541</v>
      </c>
      <c r="C152" s="105" t="s">
        <v>462</v>
      </c>
      <c r="D152" s="238">
        <f>VLOOKUP(B152,'MEMÓRIA DE CÁLCULO'!B:H,2,)</f>
        <v>81351</v>
      </c>
      <c r="E152" s="102" t="str">
        <f>VLOOKUP(B152,'MEMÓRIA DE CÁLCULO'!B:H,3,)</f>
        <v>JOELHO 90 GRAUS SOLD./ROSCA 25 X 3/4"</v>
      </c>
      <c r="F152" s="106" t="s">
        <v>340</v>
      </c>
      <c r="G152" s="106">
        <f>VLOOKUP(B152,'MEMÓRIA DE CÁLCULO'!B:H,7,)</f>
        <v>11</v>
      </c>
      <c r="H152" s="115">
        <v>4.01</v>
      </c>
      <c r="I152" s="115">
        <v>5.12</v>
      </c>
      <c r="J152" s="131">
        <f t="shared" si="5"/>
        <v>100.42999999999999</v>
      </c>
      <c r="K152" s="271"/>
    </row>
    <row r="153" spans="2:11" s="25" customFormat="1" ht="15" x14ac:dyDescent="0.25">
      <c r="B153" s="237" t="s">
        <v>542</v>
      </c>
      <c r="C153" s="105" t="s">
        <v>462</v>
      </c>
      <c r="D153" s="238">
        <f>VLOOKUP(B153,'MEMÓRIA DE CÁLCULO'!B:H,2,)</f>
        <v>81464</v>
      </c>
      <c r="E153" s="102" t="str">
        <f>VLOOKUP(B153,'MEMÓRIA DE CÁLCULO'!B:H,3,)</f>
        <v>UNIAO SOLDAVEL DIAMETRO 40 mm</v>
      </c>
      <c r="F153" s="106" t="s">
        <v>340</v>
      </c>
      <c r="G153" s="106">
        <f>VLOOKUP(B153,'MEMÓRIA DE CÁLCULO'!B:H,7,)</f>
        <v>22</v>
      </c>
      <c r="H153" s="115">
        <v>33.19</v>
      </c>
      <c r="I153" s="115">
        <v>3.59</v>
      </c>
      <c r="J153" s="131">
        <f t="shared" si="5"/>
        <v>809.16000000000008</v>
      </c>
      <c r="K153" s="271"/>
    </row>
    <row r="154" spans="2:11" s="25" customFormat="1" ht="15" x14ac:dyDescent="0.25">
      <c r="B154" s="237" t="s">
        <v>543</v>
      </c>
      <c r="C154" s="105" t="s">
        <v>462</v>
      </c>
      <c r="D154" s="238">
        <f>VLOOKUP(B154,'MEMÓRIA DE CÁLCULO'!B:H,2,)</f>
        <v>81421</v>
      </c>
      <c r="E154" s="102" t="str">
        <f>VLOOKUP(B154,'MEMÓRIA DE CÁLCULO'!B:H,3,)</f>
        <v>TE REDUCAO 90 GRAUS SOLDAVEL 32 X 25 mm</v>
      </c>
      <c r="F154" s="106" t="s">
        <v>340</v>
      </c>
      <c r="G154" s="106">
        <f>VLOOKUP(B154,'MEMÓRIA DE CÁLCULO'!B:H,7,)</f>
        <v>2</v>
      </c>
      <c r="H154" s="115">
        <v>7.15</v>
      </c>
      <c r="I154" s="115">
        <v>4.8600000000000003</v>
      </c>
      <c r="J154" s="131">
        <f t="shared" si="5"/>
        <v>24.020000000000003</v>
      </c>
      <c r="K154" s="271"/>
    </row>
    <row r="155" spans="2:11" s="25" customFormat="1" ht="15" x14ac:dyDescent="0.25">
      <c r="B155" s="237" t="s">
        <v>544</v>
      </c>
      <c r="C155" s="105" t="s">
        <v>462</v>
      </c>
      <c r="D155" s="238">
        <f>VLOOKUP(B155,'MEMÓRIA DE CÁLCULO'!B:H,2,)</f>
        <v>81321</v>
      </c>
      <c r="E155" s="102" t="str">
        <f>VLOOKUP(B155,'MEMÓRIA DE CÁLCULO'!B:H,3,)</f>
        <v>JOELHO 90 GRAUS SOLDAVEL DIAMETRO 25 MM</v>
      </c>
      <c r="F155" s="106" t="s">
        <v>340</v>
      </c>
      <c r="G155" s="106">
        <f>VLOOKUP(B155,'MEMÓRIA DE CÁLCULO'!B:H,7,)</f>
        <v>9</v>
      </c>
      <c r="H155" s="115">
        <v>0.85</v>
      </c>
      <c r="I155" s="115">
        <v>4.6100000000000003</v>
      </c>
      <c r="J155" s="131">
        <f t="shared" si="5"/>
        <v>49.14</v>
      </c>
      <c r="K155" s="271"/>
    </row>
    <row r="156" spans="2:11" s="25" customFormat="1" ht="15" x14ac:dyDescent="0.25">
      <c r="B156" s="237" t="s">
        <v>545</v>
      </c>
      <c r="C156" s="105" t="s">
        <v>462</v>
      </c>
      <c r="D156" s="238">
        <f>VLOOKUP(B156,'MEMÓRIA DE CÁLCULO'!B:H,2,)</f>
        <v>81402</v>
      </c>
      <c r="E156" s="102" t="str">
        <f>VLOOKUP(B156,'MEMÓRIA DE CÁLCULO'!B:H,3,)</f>
        <v>TE 90 GRAUS SOLDAVEL DIAMETRO 25 mm</v>
      </c>
      <c r="F156" s="106" t="s">
        <v>340</v>
      </c>
      <c r="G156" s="106">
        <f>VLOOKUP(B156,'MEMÓRIA DE CÁLCULO'!B:H,7,)</f>
        <v>15</v>
      </c>
      <c r="H156" s="115">
        <v>1.44</v>
      </c>
      <c r="I156" s="115">
        <v>4.8600000000000003</v>
      </c>
      <c r="J156" s="131">
        <f t="shared" si="5"/>
        <v>94.500000000000014</v>
      </c>
      <c r="K156" s="271"/>
    </row>
    <row r="157" spans="2:11" s="25" customFormat="1" ht="15" x14ac:dyDescent="0.25">
      <c r="B157" s="237" t="s">
        <v>546</v>
      </c>
      <c r="C157" s="105" t="s">
        <v>462</v>
      </c>
      <c r="D157" s="238">
        <f>VLOOKUP(B157,'MEMÓRIA DE CÁLCULO'!B:H,2,)</f>
        <v>81361</v>
      </c>
      <c r="E157" s="102" t="str">
        <f>VLOOKUP(B157,'MEMÓRIA DE CÁLCULO'!B:H,3,)</f>
        <v>JOELHO REDUCAO 90 GRAUS SOLD./ROSCA 25 X 1/2"</v>
      </c>
      <c r="F157" s="106" t="s">
        <v>340</v>
      </c>
      <c r="G157" s="106">
        <f>VLOOKUP(B157,'MEMÓRIA DE CÁLCULO'!B:H,7,)</f>
        <v>12</v>
      </c>
      <c r="H157" s="115">
        <v>2.37</v>
      </c>
      <c r="I157" s="115">
        <v>5.12</v>
      </c>
      <c r="J157" s="131">
        <f t="shared" si="5"/>
        <v>89.88</v>
      </c>
      <c r="K157" s="271"/>
    </row>
    <row r="158" spans="2:11" s="25" customFormat="1" ht="27" customHeight="1" x14ac:dyDescent="0.25">
      <c r="B158" s="237" t="s">
        <v>547</v>
      </c>
      <c r="C158" s="105" t="s">
        <v>30</v>
      </c>
      <c r="D158" s="238" t="str">
        <f>VLOOKUP(B158,'MEMÓRIA DE CÁLCULO'!B:H,2,)</f>
        <v>SINAPI 89388</v>
      </c>
      <c r="E158" s="102" t="str">
        <f>VLOOKUP(B158,'MEMÓRIA DE CÁLCULO'!B:H,3,)</f>
        <v>LUVA DE REDUÇÃO, PVC, SOLDÁVEL, DN 40MM X 32MM, INSTALADO EM RAMAL OU SUB- UN RAMAL DE ÁGUA</v>
      </c>
      <c r="F158" s="106" t="s">
        <v>340</v>
      </c>
      <c r="G158" s="106">
        <f>VLOOKUP(B158,'MEMÓRIA DE CÁLCULO'!B:H,7,)</f>
        <v>1</v>
      </c>
      <c r="H158" s="192">
        <v>8.1199999999999992</v>
      </c>
      <c r="I158" s="192">
        <v>2.99</v>
      </c>
      <c r="J158" s="130">
        <f t="shared" si="5"/>
        <v>11.11</v>
      </c>
      <c r="K158" s="271"/>
    </row>
    <row r="159" spans="2:11" s="25" customFormat="1" ht="15" x14ac:dyDescent="0.25">
      <c r="B159" s="237" t="s">
        <v>548</v>
      </c>
      <c r="C159" s="105" t="s">
        <v>462</v>
      </c>
      <c r="D159" s="238">
        <f>VLOOKUP(B159,'MEMÓRIA DE CÁLCULO'!B:H,2,)</f>
        <v>81322</v>
      </c>
      <c r="E159" s="102" t="str">
        <f>VLOOKUP(B159,'MEMÓRIA DE CÁLCULO'!B:H,3,)</f>
        <v>JOELHO 90 GRAUS SOLDAVEL DIAMETRO 32 MM (1")</v>
      </c>
      <c r="F159" s="106" t="s">
        <v>340</v>
      </c>
      <c r="G159" s="106">
        <f>VLOOKUP(B159,'MEMÓRIA DE CÁLCULO'!B:H,7,)</f>
        <v>1</v>
      </c>
      <c r="H159" s="115">
        <v>2.5499999999999998</v>
      </c>
      <c r="I159" s="115">
        <v>4.6100000000000003</v>
      </c>
      <c r="J159" s="131">
        <f t="shared" si="5"/>
        <v>7.16</v>
      </c>
      <c r="K159" s="271"/>
    </row>
    <row r="160" spans="2:11" s="25" customFormat="1" ht="15" x14ac:dyDescent="0.25">
      <c r="B160" s="237" t="s">
        <v>549</v>
      </c>
      <c r="C160" s="105" t="s">
        <v>462</v>
      </c>
      <c r="D160" s="238">
        <f>VLOOKUP(B160,'MEMÓRIA DE CÁLCULO'!B:H,2,)</f>
        <v>81066</v>
      </c>
      <c r="E160" s="102" t="str">
        <f>VLOOKUP(B160,'MEMÓRIA DE CÁLCULO'!B:H,3,)</f>
        <v>ADAPTAD.SOLD.CURTO C/BOLSA E ROSCA P/REG.25X3/4"</v>
      </c>
      <c r="F160" s="106" t="s">
        <v>340</v>
      </c>
      <c r="G160" s="106">
        <f>VLOOKUP(B160,'MEMÓRIA DE CÁLCULO'!B:H,7,)</f>
        <v>1</v>
      </c>
      <c r="H160" s="115">
        <v>1.1499999999999999</v>
      </c>
      <c r="I160" s="115">
        <v>2.31</v>
      </c>
      <c r="J160" s="131">
        <f t="shared" si="5"/>
        <v>3.46</v>
      </c>
      <c r="K160" s="271"/>
    </row>
    <row r="161" spans="1:11" s="25" customFormat="1" ht="15" x14ac:dyDescent="0.25">
      <c r="B161" s="237" t="s">
        <v>550</v>
      </c>
      <c r="C161" s="105" t="s">
        <v>462</v>
      </c>
      <c r="D161" s="238">
        <f>VLOOKUP(B161,'MEMÓRIA DE CÁLCULO'!B:H,2,)</f>
        <v>80725</v>
      </c>
      <c r="E161" s="102" t="str">
        <f>VLOOKUP(B161,'MEMÓRIA DE CÁLCULO'!B:H,3,)</f>
        <v>CHUVEIRO METÁLICO COM BRAÇO METÁLICO ( DUCHA FRIA)</v>
      </c>
      <c r="F161" s="106" t="s">
        <v>340</v>
      </c>
      <c r="G161" s="106">
        <f>VLOOKUP(B161,'MEMÓRIA DE CÁLCULO'!B:H,7,)</f>
        <v>2</v>
      </c>
      <c r="H161" s="115">
        <v>66.040000000000006</v>
      </c>
      <c r="I161" s="115">
        <v>12.81</v>
      </c>
      <c r="J161" s="131">
        <f t="shared" si="5"/>
        <v>157.70000000000002</v>
      </c>
      <c r="K161" s="271"/>
    </row>
    <row r="162" spans="1:11" s="25" customFormat="1" ht="15" x14ac:dyDescent="0.25">
      <c r="B162" s="237" t="s">
        <v>551</v>
      </c>
      <c r="C162" s="105" t="s">
        <v>1187</v>
      </c>
      <c r="D162" s="238" t="str">
        <f>VLOOKUP(B162,'MEMÓRIA DE CÁLCULO'!B:H,2,)</f>
        <v>COMPOSIÇÃO 16</v>
      </c>
      <c r="E162" s="102" t="str">
        <f>VLOOKUP(B162,'MEMÓRIA DE CÁLCULO'!B:H,3,)</f>
        <v>DUCHA HIGIENICA</v>
      </c>
      <c r="F162" s="106" t="s">
        <v>340</v>
      </c>
      <c r="G162" s="106">
        <f>VLOOKUP(B162,'MEMÓRIA DE CÁLCULO'!B:H,7,)</f>
        <v>4</v>
      </c>
      <c r="H162" s="115">
        <v>72.849999999999994</v>
      </c>
      <c r="I162" s="115">
        <v>2.0499999999999998</v>
      </c>
      <c r="J162" s="131">
        <f t="shared" si="5"/>
        <v>299.59999999999997</v>
      </c>
      <c r="K162" s="271"/>
    </row>
    <row r="163" spans="1:11" s="25" customFormat="1" ht="15" x14ac:dyDescent="0.25">
      <c r="B163" s="589" t="s">
        <v>1253</v>
      </c>
      <c r="C163" s="590"/>
      <c r="D163" s="590"/>
      <c r="E163" s="590"/>
      <c r="F163" s="590"/>
      <c r="G163" s="590"/>
      <c r="H163" s="590"/>
      <c r="I163" s="590"/>
      <c r="J163" s="116">
        <f>SUM(J164:J189)</f>
        <v>12440.743369999998</v>
      </c>
      <c r="K163" s="271"/>
    </row>
    <row r="164" spans="1:11" s="21" customFormat="1" x14ac:dyDescent="0.25">
      <c r="A164" s="43"/>
      <c r="B164" s="367" t="s">
        <v>552</v>
      </c>
      <c r="C164" s="355" t="s">
        <v>462</v>
      </c>
      <c r="D164" s="301">
        <f>VLOOKUP(B164,'MEMÓRIA DE CÁLCULO'!B:H,2,)</f>
        <v>82301</v>
      </c>
      <c r="E164" s="302" t="str">
        <f>VLOOKUP(B164,'MEMÓRIA DE CÁLCULO'!B:H,3,)</f>
        <v>TUBO SOLD.P/ESGOTO DIAM. 40 MM</v>
      </c>
      <c r="F164" s="303" t="s">
        <v>29</v>
      </c>
      <c r="G164" s="303">
        <f>VLOOKUP(B164,'MEMÓRIA DE CÁLCULO'!B:H,7,)</f>
        <v>58.892000000000003</v>
      </c>
      <c r="H164" s="139">
        <v>5.05</v>
      </c>
      <c r="I164" s="139">
        <v>6.14</v>
      </c>
      <c r="J164" s="131">
        <f t="shared" si="5"/>
        <v>659.00148000000002</v>
      </c>
      <c r="K164" s="271"/>
    </row>
    <row r="165" spans="1:11" s="43" customFormat="1" x14ac:dyDescent="0.25">
      <c r="B165" s="237" t="s">
        <v>553</v>
      </c>
      <c r="C165" s="105" t="s">
        <v>462</v>
      </c>
      <c r="D165" s="238">
        <f>VLOOKUP(B165,'MEMÓRIA DE CÁLCULO'!B:H,2,)</f>
        <v>82302</v>
      </c>
      <c r="E165" s="102" t="str">
        <f>VLOOKUP(B165,'MEMÓRIA DE CÁLCULO'!B:H,3,)</f>
        <v>TUBO SOLD. P/ESGOTO DIAM. 50 MM</v>
      </c>
      <c r="F165" s="106" t="s">
        <v>29</v>
      </c>
      <c r="G165" s="106">
        <f>VLOOKUP(B165,'MEMÓRIA DE CÁLCULO'!B:H,7,)</f>
        <v>30</v>
      </c>
      <c r="H165" s="122">
        <v>7.43</v>
      </c>
      <c r="I165" s="122">
        <v>7.68</v>
      </c>
      <c r="J165" s="131">
        <f t="shared" si="5"/>
        <v>453.29999999999995</v>
      </c>
      <c r="K165" s="271"/>
    </row>
    <row r="166" spans="1:11" s="43" customFormat="1" x14ac:dyDescent="0.25">
      <c r="B166" s="237" t="s">
        <v>554</v>
      </c>
      <c r="C166" s="105" t="s">
        <v>462</v>
      </c>
      <c r="D166" s="238">
        <f>VLOOKUP(B166,'MEMÓRIA DE CÁLCULO'!B:H,2,)</f>
        <v>82303</v>
      </c>
      <c r="E166" s="102" t="str">
        <f>VLOOKUP(B166,'MEMÓRIA DE CÁLCULO'!B:H,3,)</f>
        <v>TUBO SOLDAVEL P/ESGOTO DIAM.75 MM</v>
      </c>
      <c r="F166" s="106" t="s">
        <v>29</v>
      </c>
      <c r="G166" s="106">
        <f>VLOOKUP(B166,'MEMÓRIA DE CÁLCULO'!B:H,7,)</f>
        <v>3.3899999999999997</v>
      </c>
      <c r="H166" s="122">
        <v>11.67</v>
      </c>
      <c r="I166" s="122">
        <v>12.3</v>
      </c>
      <c r="J166" s="131">
        <f t="shared" si="5"/>
        <v>81.258299999999991</v>
      </c>
      <c r="K166" s="271"/>
    </row>
    <row r="167" spans="1:11" s="43" customFormat="1" x14ac:dyDescent="0.25">
      <c r="B167" s="237" t="s">
        <v>555</v>
      </c>
      <c r="C167" s="105" t="s">
        <v>462</v>
      </c>
      <c r="D167" s="238">
        <f>VLOOKUP(B167,'MEMÓRIA DE CÁLCULO'!B:H,2,)</f>
        <v>82304</v>
      </c>
      <c r="E167" s="102" t="str">
        <f>VLOOKUP(B167,'MEMÓRIA DE CÁLCULO'!B:H,3,)</f>
        <v>TUBO SOLDAVEL P/ESGOTO DIAM. 100 MM</v>
      </c>
      <c r="F167" s="106" t="s">
        <v>29</v>
      </c>
      <c r="G167" s="106">
        <f>VLOOKUP(B167,'MEMÓRIA DE CÁLCULO'!B:H,7,)</f>
        <v>60.389000000000003</v>
      </c>
      <c r="H167" s="122">
        <v>14</v>
      </c>
      <c r="I167" s="122">
        <v>13.31</v>
      </c>
      <c r="J167" s="131">
        <f t="shared" si="5"/>
        <v>1649.2235900000003</v>
      </c>
      <c r="K167" s="271"/>
    </row>
    <row r="168" spans="1:11" s="43" customFormat="1" x14ac:dyDescent="0.25">
      <c r="B168" s="237" t="s">
        <v>556</v>
      </c>
      <c r="C168" s="105" t="s">
        <v>462</v>
      </c>
      <c r="D168" s="238">
        <f>VLOOKUP(B168,'MEMÓRIA DE CÁLCULO'!B:H,2,)</f>
        <v>81825</v>
      </c>
      <c r="E168" s="102" t="str">
        <f>VLOOKUP(B168,'MEMÓRIA DE CÁLCULO'!B:H,3,)</f>
        <v>CAIXA DE PASSAGEM 60 X 60 CM SEM TAMPA</v>
      </c>
      <c r="F168" s="106" t="s">
        <v>340</v>
      </c>
      <c r="G168" s="106">
        <f>VLOOKUP(B168,'MEMÓRIA DE CÁLCULO'!B:H,7,)</f>
        <v>5</v>
      </c>
      <c r="H168" s="122">
        <v>145.97999999999999</v>
      </c>
      <c r="I168" s="122">
        <v>193.78</v>
      </c>
      <c r="J168" s="131">
        <f t="shared" si="5"/>
        <v>1698.8</v>
      </c>
      <c r="K168" s="271"/>
    </row>
    <row r="169" spans="1:11" s="43" customFormat="1" x14ac:dyDescent="0.25">
      <c r="B169" s="237" t="s">
        <v>557</v>
      </c>
      <c r="C169" s="105" t="s">
        <v>462</v>
      </c>
      <c r="D169" s="238">
        <f>VLOOKUP(B169,'MEMÓRIA DE CÁLCULO'!B:H,2,)</f>
        <v>81826</v>
      </c>
      <c r="E169" s="102" t="str">
        <f>VLOOKUP(B169,'MEMÓRIA DE CÁLCULO'!B:H,3,)</f>
        <v>TAMPA EM CONCRETO ARMADO 25 MPA E=5CM PARA A CAIXA DE PASSAGEM 60X60CM</v>
      </c>
      <c r="F169" s="106" t="s">
        <v>340</v>
      </c>
      <c r="G169" s="106">
        <f>VLOOKUP(B169,'MEMÓRIA DE CÁLCULO'!B:H,7,)</f>
        <v>5</v>
      </c>
      <c r="H169" s="138">
        <v>68.61</v>
      </c>
      <c r="I169" s="122">
        <v>10.55</v>
      </c>
      <c r="J169" s="131">
        <f t="shared" si="5"/>
        <v>395.79999999999995</v>
      </c>
      <c r="K169" s="271"/>
    </row>
    <row r="170" spans="1:11" s="43" customFormat="1" ht="28.5" x14ac:dyDescent="0.25">
      <c r="B170" s="237" t="s">
        <v>558</v>
      </c>
      <c r="C170" s="105" t="s">
        <v>462</v>
      </c>
      <c r="D170" s="238">
        <f>VLOOKUP(B170,'MEMÓRIA DE CÁLCULO'!B:H,2,)</f>
        <v>81846</v>
      </c>
      <c r="E170" s="102" t="str">
        <f>VLOOKUP(B170,'MEMÓRIA DE CÁLCULO'!B:H,3,)</f>
        <v>CAIXA DE GORDURA E INSPEÇÃO EM PVC/ABS 19 LITROS COM TAMPA E PORTA TAMPA E CESTO DE LIMPEZA REMOVÍVEL</v>
      </c>
      <c r="F170" s="106" t="s">
        <v>340</v>
      </c>
      <c r="G170" s="106">
        <f>VLOOKUP(B170,'MEMÓRIA DE CÁLCULO'!B:H,7,)</f>
        <v>4</v>
      </c>
      <c r="H170" s="142">
        <v>351.56</v>
      </c>
      <c r="I170" s="141">
        <v>22.53</v>
      </c>
      <c r="J170" s="131">
        <f t="shared" si="5"/>
        <v>1496.3600000000001</v>
      </c>
      <c r="K170" s="271"/>
    </row>
    <row r="171" spans="1:11" s="43" customFormat="1" x14ac:dyDescent="0.25">
      <c r="B171" s="237" t="s">
        <v>559</v>
      </c>
      <c r="C171" s="105" t="s">
        <v>462</v>
      </c>
      <c r="D171" s="238" t="str">
        <f>VLOOKUP(B171,'MEMÓRIA DE CÁLCULO'!B:H,2,)</f>
        <v>COMPOSIÇÃO 1</v>
      </c>
      <c r="E171" s="102" t="str">
        <f>VLOOKUP(B171,'MEMÓRIA DE CÁLCULO'!B:H,3,)</f>
        <v>CAIXA DE GORDURA 42 L</v>
      </c>
      <c r="F171" s="106" t="s">
        <v>340</v>
      </c>
      <c r="G171" s="106">
        <f>VLOOKUP(B171,'MEMÓRIA DE CÁLCULO'!B:H,7,)</f>
        <v>3</v>
      </c>
      <c r="H171" s="139">
        <v>112.74</v>
      </c>
      <c r="I171" s="139">
        <v>22.54</v>
      </c>
      <c r="J171" s="131">
        <f t="shared" si="5"/>
        <v>405.84000000000003</v>
      </c>
      <c r="K171" s="271"/>
    </row>
    <row r="172" spans="1:11" s="43" customFormat="1" x14ac:dyDescent="0.25">
      <c r="B172" s="237" t="s">
        <v>560</v>
      </c>
      <c r="C172" s="105" t="s">
        <v>462</v>
      </c>
      <c r="D172" s="238">
        <f>VLOOKUP(B172,'MEMÓRIA DE CÁLCULO'!B:H,2,)</f>
        <v>81935</v>
      </c>
      <c r="E172" s="102" t="str">
        <f>VLOOKUP(B172,'MEMÓRIA DE CÁLCULO'!B:H,3,)</f>
        <v>JOELHO 90 GRAUS DIAMETRO 40 MM</v>
      </c>
      <c r="F172" s="106" t="s">
        <v>340</v>
      </c>
      <c r="G172" s="106">
        <f>VLOOKUP(B172,'MEMÓRIA DE CÁLCULO'!B:H,7,)</f>
        <v>32</v>
      </c>
      <c r="H172" s="122">
        <v>1.77</v>
      </c>
      <c r="I172" s="122">
        <v>7.17</v>
      </c>
      <c r="J172" s="131">
        <f t="shared" si="5"/>
        <v>286.08</v>
      </c>
      <c r="K172" s="271"/>
    </row>
    <row r="173" spans="1:11" s="43" customFormat="1" x14ac:dyDescent="0.25">
      <c r="B173" s="237" t="s">
        <v>561</v>
      </c>
      <c r="C173" s="105" t="s">
        <v>462</v>
      </c>
      <c r="D173" s="238">
        <f>VLOOKUP(B173,'MEMÓRIA DE CÁLCULO'!B:H,2,)</f>
        <v>82201</v>
      </c>
      <c r="E173" s="102" t="str">
        <f>VLOOKUP(B173,'MEMÓRIA DE CÁLCULO'!B:H,3,)</f>
        <v>TE 90 GRAUS DIAMETRO 40 MM - ESGOTO</v>
      </c>
      <c r="F173" s="106" t="s">
        <v>340</v>
      </c>
      <c r="G173" s="106">
        <f>VLOOKUP(B173,'MEMÓRIA DE CÁLCULO'!B:H,7,)</f>
        <v>5</v>
      </c>
      <c r="H173" s="122">
        <v>3.21</v>
      </c>
      <c r="I173" s="122">
        <v>7.43</v>
      </c>
      <c r="J173" s="131">
        <f t="shared" si="5"/>
        <v>53.2</v>
      </c>
      <c r="K173" s="271"/>
    </row>
    <row r="174" spans="1:11" s="43" customFormat="1" x14ac:dyDescent="0.25">
      <c r="B174" s="237" t="s">
        <v>681</v>
      </c>
      <c r="C174" s="105" t="s">
        <v>462</v>
      </c>
      <c r="D174" s="238">
        <f>VLOOKUP(B174,'MEMÓRIA DE CÁLCULO'!B:H,2,)</f>
        <v>81661</v>
      </c>
      <c r="E174" s="102" t="str">
        <f>VLOOKUP(B174,'MEMÓRIA DE CÁLCULO'!B:H,3,)</f>
        <v>CORPO CX. SIFONADA DIAM. 100 X 100 X 50</v>
      </c>
      <c r="F174" s="106" t="s">
        <v>340</v>
      </c>
      <c r="G174" s="106">
        <f>VLOOKUP(B174,'MEMÓRIA DE CÁLCULO'!B:H,7,)</f>
        <v>4</v>
      </c>
      <c r="H174" s="122">
        <v>10.69</v>
      </c>
      <c r="I174" s="122">
        <v>5.63</v>
      </c>
      <c r="J174" s="131">
        <f t="shared" si="5"/>
        <v>65.28</v>
      </c>
      <c r="K174" s="271"/>
    </row>
    <row r="175" spans="1:11" s="43" customFormat="1" x14ac:dyDescent="0.25">
      <c r="B175" s="237" t="s">
        <v>682</v>
      </c>
      <c r="C175" s="105" t="s">
        <v>462</v>
      </c>
      <c r="D175" s="238">
        <f>VLOOKUP(B175,'MEMÓRIA DE CÁLCULO'!B:H,2,)</f>
        <v>82103</v>
      </c>
      <c r="E175" s="102" t="str">
        <f>VLOOKUP(B175,'MEMÓRIA DE CÁLCULO'!B:H,3,)</f>
        <v>REDUCAO EXCENTRICA 100 X 50 MM</v>
      </c>
      <c r="F175" s="106" t="s">
        <v>340</v>
      </c>
      <c r="G175" s="106">
        <f>VLOOKUP(B175,'MEMÓRIA DE CÁLCULO'!B:H,7,)</f>
        <v>4</v>
      </c>
      <c r="H175" s="122">
        <v>7.03</v>
      </c>
      <c r="I175" s="122">
        <v>10.25</v>
      </c>
      <c r="J175" s="131">
        <f t="shared" si="5"/>
        <v>69.12</v>
      </c>
      <c r="K175" s="271"/>
    </row>
    <row r="176" spans="1:11" s="43" customFormat="1" x14ac:dyDescent="0.25">
      <c r="B176" s="237" t="s">
        <v>683</v>
      </c>
      <c r="C176" s="105" t="s">
        <v>462</v>
      </c>
      <c r="D176" s="238">
        <f>VLOOKUP(B176,'MEMÓRIA DE CÁLCULO'!B:H,2,)</f>
        <v>81602</v>
      </c>
      <c r="E176" s="102" t="str">
        <f>VLOOKUP(B176,'MEMÓRIA DE CÁLCULO'!B:H,3,)</f>
        <v>BUCHA DE REDUCAO LONGA DIAM. 50 X 40 MM</v>
      </c>
      <c r="F176" s="106" t="s">
        <v>340</v>
      </c>
      <c r="G176" s="106">
        <f>VLOOKUP(B176,'MEMÓRIA DE CÁLCULO'!B:H,7,)</f>
        <v>1</v>
      </c>
      <c r="H176" s="122">
        <v>2.19</v>
      </c>
      <c r="I176" s="122">
        <v>3.59</v>
      </c>
      <c r="J176" s="131">
        <f t="shared" si="5"/>
        <v>5.7799999999999994</v>
      </c>
      <c r="K176" s="271"/>
    </row>
    <row r="177" spans="2:11" s="43" customFormat="1" x14ac:dyDescent="0.25">
      <c r="B177" s="237" t="s">
        <v>684</v>
      </c>
      <c r="C177" s="105" t="s">
        <v>462</v>
      </c>
      <c r="D177" s="238">
        <f>VLOOKUP(B177,'MEMÓRIA DE CÁLCULO'!B:H,2,)</f>
        <v>81701</v>
      </c>
      <c r="E177" s="102" t="str">
        <f>VLOOKUP(B177,'MEMÓRIA DE CÁLCULO'!B:H,3,)</f>
        <v>CURVA 45 GRAUS DIAMETRO 40 MM</v>
      </c>
      <c r="F177" s="106" t="s">
        <v>340</v>
      </c>
      <c r="G177" s="106">
        <f>VLOOKUP(B177,'MEMÓRIA DE CÁLCULO'!B:H,7,)</f>
        <v>7</v>
      </c>
      <c r="H177" s="122">
        <v>2.2000000000000002</v>
      </c>
      <c r="I177" s="122">
        <v>6.4</v>
      </c>
      <c r="J177" s="131">
        <f t="shared" si="5"/>
        <v>60.20000000000001</v>
      </c>
      <c r="K177" s="271"/>
    </row>
    <row r="178" spans="2:11" s="43" customFormat="1" x14ac:dyDescent="0.25">
      <c r="B178" s="237" t="s">
        <v>685</v>
      </c>
      <c r="C178" s="105" t="s">
        <v>462</v>
      </c>
      <c r="D178" s="238">
        <f>VLOOKUP(B178,'MEMÓRIA DE CÁLCULO'!B:H,2,)</f>
        <v>81702</v>
      </c>
      <c r="E178" s="102" t="str">
        <f>VLOOKUP(B178,'MEMÓRIA DE CÁLCULO'!B:H,3,)</f>
        <v>CURVA 45 GRAUS DIAMETRO 100 MM</v>
      </c>
      <c r="F178" s="106" t="s">
        <v>340</v>
      </c>
      <c r="G178" s="106">
        <f>VLOOKUP(B178,'MEMÓRIA DE CÁLCULO'!B:H,7,)</f>
        <v>3</v>
      </c>
      <c r="H178" s="122">
        <v>23.99</v>
      </c>
      <c r="I178" s="122">
        <v>8.4499999999999993</v>
      </c>
      <c r="J178" s="131">
        <f t="shared" si="5"/>
        <v>97.32</v>
      </c>
      <c r="K178" s="271"/>
    </row>
    <row r="179" spans="2:11" s="43" customFormat="1" x14ac:dyDescent="0.25">
      <c r="B179" s="237" t="s">
        <v>686</v>
      </c>
      <c r="C179" s="105" t="s">
        <v>462</v>
      </c>
      <c r="D179" s="238">
        <f>VLOOKUP(B179,'MEMÓRIA DE CÁLCULO'!B:H,2,)</f>
        <v>81922</v>
      </c>
      <c r="E179" s="102" t="str">
        <f>VLOOKUP(B179,'MEMÓRIA DE CÁLCULO'!B:H,3,)</f>
        <v>JOELHO 45 GRAUS DIAMETRO 50 MM</v>
      </c>
      <c r="F179" s="106" t="s">
        <v>340</v>
      </c>
      <c r="G179" s="106">
        <f>VLOOKUP(B179,'MEMÓRIA DE CÁLCULO'!B:H,7,)</f>
        <v>7</v>
      </c>
      <c r="H179" s="122">
        <v>2.97</v>
      </c>
      <c r="I179" s="122">
        <v>7.17</v>
      </c>
      <c r="J179" s="131">
        <f t="shared" si="5"/>
        <v>70.98</v>
      </c>
      <c r="K179" s="271"/>
    </row>
    <row r="180" spans="2:11" s="43" customFormat="1" x14ac:dyDescent="0.25">
      <c r="B180" s="237" t="s">
        <v>687</v>
      </c>
      <c r="C180" s="105" t="s">
        <v>462</v>
      </c>
      <c r="D180" s="238">
        <f>VLOOKUP(B180,'MEMÓRIA DE CÁLCULO'!B:H,2,)</f>
        <v>81923</v>
      </c>
      <c r="E180" s="102" t="str">
        <f>VLOOKUP(B180,'MEMÓRIA DE CÁLCULO'!B:H,3,)</f>
        <v>JOELHO 45 GRAUS DIAMETRO 75 MM</v>
      </c>
      <c r="F180" s="106" t="s">
        <v>340</v>
      </c>
      <c r="G180" s="106">
        <f>VLOOKUP(B180,'MEMÓRIA DE CÁLCULO'!B:H,7,)</f>
        <v>2</v>
      </c>
      <c r="H180" s="122">
        <v>7.03</v>
      </c>
      <c r="I180" s="122">
        <v>9.2200000000000006</v>
      </c>
      <c r="J180" s="131">
        <f t="shared" si="5"/>
        <v>32.5</v>
      </c>
      <c r="K180" s="271"/>
    </row>
    <row r="181" spans="2:11" s="43" customFormat="1" x14ac:dyDescent="0.25">
      <c r="B181" s="237" t="s">
        <v>688</v>
      </c>
      <c r="C181" s="105" t="s">
        <v>462</v>
      </c>
      <c r="D181" s="238">
        <f>VLOOKUP(B181,'MEMÓRIA DE CÁLCULO'!B:H,2,)</f>
        <v>81938</v>
      </c>
      <c r="E181" s="102" t="str">
        <f>VLOOKUP(B181,'MEMÓRIA DE CÁLCULO'!B:H,3,)</f>
        <v>JOELHO 90 GRAUS DIAMETRO 100 MM</v>
      </c>
      <c r="F181" s="106" t="s">
        <v>340</v>
      </c>
      <c r="G181" s="106">
        <f>VLOOKUP(B181,'MEMÓRIA DE CÁLCULO'!B:H,7,)</f>
        <v>4</v>
      </c>
      <c r="H181" s="122">
        <v>7.88</v>
      </c>
      <c r="I181" s="122">
        <v>11.53</v>
      </c>
      <c r="J181" s="131">
        <f t="shared" si="5"/>
        <v>77.64</v>
      </c>
      <c r="K181" s="271"/>
    </row>
    <row r="182" spans="2:11" s="43" customFormat="1" x14ac:dyDescent="0.25">
      <c r="B182" s="237" t="s">
        <v>689</v>
      </c>
      <c r="C182" s="105" t="s">
        <v>462</v>
      </c>
      <c r="D182" s="238">
        <f>VLOOKUP(B182,'MEMÓRIA DE CÁLCULO'!B:H,2,)</f>
        <v>81973</v>
      </c>
      <c r="E182" s="102" t="str">
        <f>VLOOKUP(B182,'MEMÓRIA DE CÁLCULO'!B:H,3,)</f>
        <v>JUNCAO SIMPLES DIAM. 100 X 50 MM</v>
      </c>
      <c r="F182" s="106" t="s">
        <v>340</v>
      </c>
      <c r="G182" s="106">
        <f>VLOOKUP(B182,'MEMÓRIA DE CÁLCULO'!B:H,7,)</f>
        <v>2</v>
      </c>
      <c r="H182" s="122">
        <v>15.41</v>
      </c>
      <c r="I182" s="122">
        <v>11.78</v>
      </c>
      <c r="J182" s="131">
        <f t="shared" si="5"/>
        <v>54.379999999999995</v>
      </c>
      <c r="K182" s="271"/>
    </row>
    <row r="183" spans="2:11" s="43" customFormat="1" x14ac:dyDescent="0.25">
      <c r="B183" s="237" t="s">
        <v>690</v>
      </c>
      <c r="C183" s="105" t="s">
        <v>462</v>
      </c>
      <c r="D183" s="238">
        <f>VLOOKUP(B183,'MEMÓRIA DE CÁLCULO'!B:H,2,)</f>
        <v>81974</v>
      </c>
      <c r="E183" s="102" t="str">
        <f>VLOOKUP(B183,'MEMÓRIA DE CÁLCULO'!B:H,3,)</f>
        <v>JUNCAO SIMPLES DIAMETRO 100 X 75 MM</v>
      </c>
      <c r="F183" s="106" t="s">
        <v>340</v>
      </c>
      <c r="G183" s="106">
        <f>VLOOKUP(B183,'MEMÓRIA DE CÁLCULO'!B:H,7,)</f>
        <v>2</v>
      </c>
      <c r="H183" s="122">
        <v>22.21</v>
      </c>
      <c r="I183" s="122">
        <v>11.78</v>
      </c>
      <c r="J183" s="131">
        <f t="shared" si="5"/>
        <v>67.98</v>
      </c>
      <c r="K183" s="271"/>
    </row>
    <row r="184" spans="2:11" s="43" customFormat="1" x14ac:dyDescent="0.25">
      <c r="B184" s="237" t="s">
        <v>691</v>
      </c>
      <c r="C184" s="105" t="s">
        <v>462</v>
      </c>
      <c r="D184" s="238">
        <f>VLOOKUP(B184,'MEMÓRIA DE CÁLCULO'!B:H,2,)</f>
        <v>81975</v>
      </c>
      <c r="E184" s="102" t="str">
        <f>VLOOKUP(B184,'MEMÓRIA DE CÁLCULO'!B:H,3,)</f>
        <v>JUNCAO SIMPLES DIAM. 100 X 100 MM</v>
      </c>
      <c r="F184" s="106" t="s">
        <v>340</v>
      </c>
      <c r="G184" s="106">
        <f>VLOOKUP(B184,'MEMÓRIA DE CÁLCULO'!B:H,7,)</f>
        <v>2</v>
      </c>
      <c r="H184" s="122">
        <v>32.96</v>
      </c>
      <c r="I184" s="122">
        <v>11.78</v>
      </c>
      <c r="J184" s="131">
        <f t="shared" ref="J184:J214" si="6">(H184+I184)*G184</f>
        <v>89.48</v>
      </c>
      <c r="K184" s="271"/>
    </row>
    <row r="185" spans="2:11" s="43" customFormat="1" x14ac:dyDescent="0.25">
      <c r="B185" s="237" t="s">
        <v>692</v>
      </c>
      <c r="C185" s="105" t="s">
        <v>462</v>
      </c>
      <c r="D185" s="238">
        <f>VLOOKUP(B185,'MEMÓRIA DE CÁLCULO'!B:H,2,)</f>
        <v>81936</v>
      </c>
      <c r="E185" s="102" t="str">
        <f>VLOOKUP(B185,'MEMÓRIA DE CÁLCULO'!B:H,3,)</f>
        <v>JOELHO 90 GRAUS DIAMETRO 50 MM</v>
      </c>
      <c r="F185" s="106" t="s">
        <v>340</v>
      </c>
      <c r="G185" s="106">
        <f>VLOOKUP(B185,'MEMÓRIA DE CÁLCULO'!B:H,7,)</f>
        <v>2</v>
      </c>
      <c r="H185" s="122">
        <v>2.38</v>
      </c>
      <c r="I185" s="122">
        <v>7.17</v>
      </c>
      <c r="J185" s="131">
        <f t="shared" si="6"/>
        <v>19.100000000000001</v>
      </c>
      <c r="K185" s="271"/>
    </row>
    <row r="186" spans="2:11" s="43" customFormat="1" x14ac:dyDescent="0.25">
      <c r="B186" s="237" t="s">
        <v>700</v>
      </c>
      <c r="C186" s="105" t="s">
        <v>462</v>
      </c>
      <c r="D186" s="238">
        <f>VLOOKUP(B186,'MEMÓRIA DE CÁLCULO'!B:H,2,)</f>
        <v>82233</v>
      </c>
      <c r="E186" s="102" t="str">
        <f>VLOOKUP(B186,'MEMÓRIA DE CÁLCULO'!B:H,3,)</f>
        <v>TE SANITARIO DIAMETRO 100 X 50 MM</v>
      </c>
      <c r="F186" s="106" t="s">
        <v>340</v>
      </c>
      <c r="G186" s="106">
        <f>VLOOKUP(B186,'MEMÓRIA DE CÁLCULO'!B:H,7,)</f>
        <v>1</v>
      </c>
      <c r="H186" s="122">
        <v>14.46</v>
      </c>
      <c r="I186" s="122">
        <v>11.78</v>
      </c>
      <c r="J186" s="131">
        <f t="shared" si="6"/>
        <v>26.240000000000002</v>
      </c>
      <c r="K186" s="271"/>
    </row>
    <row r="187" spans="2:11" s="43" customFormat="1" ht="28.5" x14ac:dyDescent="0.25">
      <c r="B187" s="237" t="s">
        <v>701</v>
      </c>
      <c r="C187" s="105" t="s">
        <v>30</v>
      </c>
      <c r="D187" s="238" t="str">
        <f>VLOOKUP(B187,'MEMÓRIA DE CÁLCULO'!B:H,2,)</f>
        <v>SINAPI 83716</v>
      </c>
      <c r="E187" s="102" t="str">
        <f>VLOOKUP(B187,'MEMÓRIA DE CÁLCULO'!B:H,3,)</f>
        <v>GRELHA FF 30X90CM, 135KG, P/ CX RALO COM ASSENTAMENTO DE ARGAMASSA CIMENTO/AREIA 1:4</v>
      </c>
      <c r="F187" s="106" t="s">
        <v>340</v>
      </c>
      <c r="G187" s="106">
        <f>VLOOKUP(B187,'MEMÓRIA DE CÁLCULO'!B:H,7,)</f>
        <v>2</v>
      </c>
      <c r="H187" s="122">
        <v>430.83</v>
      </c>
      <c r="I187" s="122">
        <v>63.61</v>
      </c>
      <c r="J187" s="131">
        <f t="shared" si="6"/>
        <v>988.88</v>
      </c>
      <c r="K187" s="271"/>
    </row>
    <row r="188" spans="2:11" s="43" customFormat="1" x14ac:dyDescent="0.25">
      <c r="B188" s="237" t="s">
        <v>702</v>
      </c>
      <c r="C188" s="105" t="s">
        <v>1187</v>
      </c>
      <c r="D188" s="238" t="str">
        <f>VLOOKUP(B188,'MEMÓRIA DE CÁLCULO'!B:H,2,)</f>
        <v>COMPOSIÇÃO 15</v>
      </c>
      <c r="E188" s="102" t="str">
        <f>VLOOKUP(B188,'MEMÓRIA DE CÁLCULO'!B:H,3,)</f>
        <v>VASO SANITARIO INFANTIL COM CAIXA ACOPLADA</v>
      </c>
      <c r="F188" s="106" t="s">
        <v>340</v>
      </c>
      <c r="G188" s="106">
        <f>VLOOKUP(B188,'MEMÓRIA DE CÁLCULO'!B:H,7,)</f>
        <v>4</v>
      </c>
      <c r="H188" s="122">
        <v>758.27</v>
      </c>
      <c r="I188" s="122">
        <v>56.34</v>
      </c>
      <c r="J188" s="131">
        <f t="shared" si="6"/>
        <v>3258.44</v>
      </c>
      <c r="K188" s="271"/>
    </row>
    <row r="189" spans="2:11" s="43" customFormat="1" x14ac:dyDescent="0.25">
      <c r="B189" s="237" t="s">
        <v>704</v>
      </c>
      <c r="C189" s="105" t="s">
        <v>30</v>
      </c>
      <c r="D189" s="238" t="str">
        <f>VLOOKUP(B189,'MEMÓRIA DE CÁLCULO'!B:H,2,)</f>
        <v>SINAPI 100851</v>
      </c>
      <c r="E189" s="102" t="str">
        <f>VLOOKUP(B189,'MEMÓRIA DE CÁLCULO'!B:H,3,)</f>
        <v>ASSENTO SANITÁRIO INFANTIL</v>
      </c>
      <c r="F189" s="106" t="s">
        <v>340</v>
      </c>
      <c r="G189" s="106">
        <f>VLOOKUP(B189,'MEMÓRIA DE CÁLCULO'!B:H,7,)</f>
        <v>4</v>
      </c>
      <c r="H189" s="122">
        <v>66.95</v>
      </c>
      <c r="I189" s="122">
        <v>2.69</v>
      </c>
      <c r="J189" s="131">
        <f t="shared" si="6"/>
        <v>278.56</v>
      </c>
      <c r="K189" s="271"/>
    </row>
    <row r="190" spans="2:11" s="43" customFormat="1" ht="15" x14ac:dyDescent="0.25">
      <c r="B190" s="589" t="s">
        <v>1252</v>
      </c>
      <c r="C190" s="590"/>
      <c r="D190" s="590"/>
      <c r="E190" s="590"/>
      <c r="F190" s="590"/>
      <c r="G190" s="590"/>
      <c r="H190" s="590"/>
      <c r="I190" s="590"/>
      <c r="J190" s="116">
        <f>SUM(J191:J207)</f>
        <v>16797.369500000001</v>
      </c>
      <c r="K190" s="271"/>
    </row>
    <row r="191" spans="2:11" s="43" customFormat="1" x14ac:dyDescent="0.25">
      <c r="B191" s="367" t="s">
        <v>705</v>
      </c>
      <c r="C191" s="355" t="s">
        <v>462</v>
      </c>
      <c r="D191" s="301">
        <f>VLOOKUP(B191,'MEMÓRIA DE CÁLCULO'!B:H,2,)</f>
        <v>82304</v>
      </c>
      <c r="E191" s="302" t="str">
        <f>VLOOKUP(B191,'MEMÓRIA DE CÁLCULO'!B:H,3,)</f>
        <v>TUBO SOLDAVEL P/ESGOTO DIAM. 100 MM</v>
      </c>
      <c r="F191" s="303" t="s">
        <v>29</v>
      </c>
      <c r="G191" s="303">
        <f>VLOOKUP(B191,'MEMÓRIA DE CÁLCULO'!B:H,7,)</f>
        <v>96.300000000000011</v>
      </c>
      <c r="H191" s="139">
        <v>14</v>
      </c>
      <c r="I191" s="139">
        <v>13.31</v>
      </c>
      <c r="J191" s="131">
        <f t="shared" si="6"/>
        <v>2629.9530000000004</v>
      </c>
      <c r="K191" s="271"/>
    </row>
    <row r="192" spans="2:11" s="43" customFormat="1" x14ac:dyDescent="0.25">
      <c r="B192" s="237" t="s">
        <v>1076</v>
      </c>
      <c r="C192" s="105" t="s">
        <v>462</v>
      </c>
      <c r="D192" s="238">
        <f>VLOOKUP(B192,'MEMÓRIA DE CÁLCULO'!B:H,2,)</f>
        <v>82332</v>
      </c>
      <c r="E192" s="102" t="str">
        <f>VLOOKUP(B192,'MEMÓRIA DE CÁLCULO'!B:H,3,)</f>
        <v>TUBO LEVE PVC RIGIDO DIAMETRO 200 MM</v>
      </c>
      <c r="F192" s="106" t="s">
        <v>29</v>
      </c>
      <c r="G192" s="106">
        <f>VLOOKUP(B192,'MEMÓRIA DE CÁLCULO'!B:H,7,)</f>
        <v>61.3</v>
      </c>
      <c r="H192" s="122">
        <v>60.99</v>
      </c>
      <c r="I192" s="122">
        <v>15.36</v>
      </c>
      <c r="J192" s="131">
        <f t="shared" si="6"/>
        <v>4680.2549999999992</v>
      </c>
      <c r="K192" s="271"/>
    </row>
    <row r="193" spans="2:11" s="43" customFormat="1" x14ac:dyDescent="0.25">
      <c r="B193" s="237" t="s">
        <v>1078</v>
      </c>
      <c r="C193" s="105" t="s">
        <v>462</v>
      </c>
      <c r="D193" s="238">
        <f>VLOOKUP(B193,'MEMÓRIA DE CÁLCULO'!B:H,2,)</f>
        <v>82331</v>
      </c>
      <c r="E193" s="102" t="str">
        <f>VLOOKUP(B193,'MEMÓRIA DE CÁLCULO'!B:H,3,)</f>
        <v>TUBO LEVE PVC RIGIDO DIAMETRO 150 MM</v>
      </c>
      <c r="F193" s="106" t="s">
        <v>29</v>
      </c>
      <c r="G193" s="106">
        <f>VLOOKUP(B193,'MEMÓRIA DE CÁLCULO'!B:H,7,)</f>
        <v>72.55</v>
      </c>
      <c r="H193" s="122">
        <v>36.590000000000003</v>
      </c>
      <c r="I193" s="122">
        <v>14.34</v>
      </c>
      <c r="J193" s="131">
        <f t="shared" si="6"/>
        <v>3694.9715000000006</v>
      </c>
      <c r="K193" s="271"/>
    </row>
    <row r="194" spans="2:11" s="195" customFormat="1" x14ac:dyDescent="0.25">
      <c r="B194" s="237" t="s">
        <v>1089</v>
      </c>
      <c r="C194" s="105" t="s">
        <v>1187</v>
      </c>
      <c r="D194" s="238" t="str">
        <f>VLOOKUP(B194,'MEMÓRIA DE CÁLCULO'!B:H,2,)</f>
        <v>COMPOSIÇÃO 2</v>
      </c>
      <c r="E194" s="102" t="str">
        <f>VLOOKUP(B194,'MEMÓRIA DE CÁLCULO'!B:H,3,)</f>
        <v>RALO ABACAXI 100 MM 4''</v>
      </c>
      <c r="F194" s="106" t="s">
        <v>340</v>
      </c>
      <c r="G194" s="106">
        <f>VLOOKUP(B194,'MEMÓRIA DE CÁLCULO'!B:H,7,)</f>
        <v>11</v>
      </c>
      <c r="H194" s="194">
        <v>37.6</v>
      </c>
      <c r="I194" s="194">
        <v>0.9</v>
      </c>
      <c r="J194" s="140">
        <f t="shared" si="6"/>
        <v>423.5</v>
      </c>
      <c r="K194" s="271"/>
    </row>
    <row r="195" spans="2:11" s="195" customFormat="1" x14ac:dyDescent="0.25">
      <c r="B195" s="237" t="s">
        <v>1090</v>
      </c>
      <c r="C195" s="105" t="s">
        <v>1187</v>
      </c>
      <c r="D195" s="238" t="str">
        <f>VLOOKUP(B195,'MEMÓRIA DE CÁLCULO'!B:H,2,)</f>
        <v>COMPOSIÇÃO 3</v>
      </c>
      <c r="E195" s="102" t="str">
        <f>VLOOKUP(B195,'MEMÓRIA DE CÁLCULO'!B:H,3,)</f>
        <v>RALO ABACAXI 200 MM 8''</v>
      </c>
      <c r="F195" s="106" t="s">
        <v>340</v>
      </c>
      <c r="G195" s="106">
        <f>VLOOKUP(B195,'MEMÓRIA DE CÁLCULO'!B:H,7,)</f>
        <v>1</v>
      </c>
      <c r="H195" s="194">
        <v>61.94</v>
      </c>
      <c r="I195" s="194">
        <v>0.9</v>
      </c>
      <c r="J195" s="140">
        <f t="shared" si="6"/>
        <v>62.839999999999996</v>
      </c>
      <c r="K195" s="271"/>
    </row>
    <row r="196" spans="2:11" s="195" customFormat="1" x14ac:dyDescent="0.25">
      <c r="B196" s="237" t="s">
        <v>1091</v>
      </c>
      <c r="C196" s="105" t="s">
        <v>1187</v>
      </c>
      <c r="D196" s="238" t="str">
        <f>VLOOKUP(B196,'MEMÓRIA DE CÁLCULO'!B:H,2,)</f>
        <v>COMPOSIÇÃO 4</v>
      </c>
      <c r="E196" s="102" t="str">
        <f>VLOOKUP(B196,'MEMÓRIA DE CÁLCULO'!B:H,3,)</f>
        <v>RALO ABACAXI 150MM 6''</v>
      </c>
      <c r="F196" s="106" t="s">
        <v>340</v>
      </c>
      <c r="G196" s="106">
        <f>VLOOKUP(B196,'MEMÓRIA DE CÁLCULO'!B:H,7,)</f>
        <v>8</v>
      </c>
      <c r="H196" s="194">
        <v>38.619999999999997</v>
      </c>
      <c r="I196" s="194">
        <v>0.9</v>
      </c>
      <c r="J196" s="128">
        <f t="shared" si="6"/>
        <v>316.15999999999997</v>
      </c>
      <c r="K196" s="271"/>
    </row>
    <row r="197" spans="2:11" s="195" customFormat="1" x14ac:dyDescent="0.25">
      <c r="B197" s="237" t="s">
        <v>1092</v>
      </c>
      <c r="C197" s="105" t="s">
        <v>462</v>
      </c>
      <c r="D197" s="238">
        <f>VLOOKUP(B197,'MEMÓRIA DE CÁLCULO'!B:H,2,)</f>
        <v>81938</v>
      </c>
      <c r="E197" s="102" t="str">
        <f>VLOOKUP(B197,'MEMÓRIA DE CÁLCULO'!B:H,3,)</f>
        <v>JOELHO 90 GRAUS DIAMETRO 100 MM</v>
      </c>
      <c r="F197" s="106" t="s">
        <v>340</v>
      </c>
      <c r="G197" s="106">
        <f>VLOOKUP(B197,'MEMÓRIA DE CÁLCULO'!B:H,7,)</f>
        <v>15</v>
      </c>
      <c r="H197" s="194">
        <v>7.88</v>
      </c>
      <c r="I197" s="194">
        <v>11.53</v>
      </c>
      <c r="J197" s="128">
        <f t="shared" si="6"/>
        <v>291.14999999999998</v>
      </c>
      <c r="K197" s="271"/>
    </row>
    <row r="198" spans="2:11" s="195" customFormat="1" x14ac:dyDescent="0.25">
      <c r="B198" s="237" t="s">
        <v>1152</v>
      </c>
      <c r="C198" s="105" t="s">
        <v>462</v>
      </c>
      <c r="D198" s="238">
        <f>VLOOKUP(B198,'MEMÓRIA DE CÁLCULO'!B:H,2,)</f>
        <v>82235</v>
      </c>
      <c r="E198" s="102" t="str">
        <f>VLOOKUP(B198,'MEMÓRIA DE CÁLCULO'!B:H,3,)</f>
        <v>TE SANITARIO DIAMETRO 100 X 100 MM</v>
      </c>
      <c r="F198" s="106" t="s">
        <v>340</v>
      </c>
      <c r="G198" s="106">
        <f>VLOOKUP(B198,'MEMÓRIA DE CÁLCULO'!B:H,7,)</f>
        <v>4</v>
      </c>
      <c r="H198" s="194">
        <v>15.13</v>
      </c>
      <c r="I198" s="194">
        <v>11.78</v>
      </c>
      <c r="J198" s="128">
        <f t="shared" si="6"/>
        <v>107.64</v>
      </c>
      <c r="K198" s="271"/>
    </row>
    <row r="199" spans="2:11" s="195" customFormat="1" ht="28.5" x14ac:dyDescent="0.25">
      <c r="B199" s="237" t="s">
        <v>1153</v>
      </c>
      <c r="C199" s="105" t="s">
        <v>30</v>
      </c>
      <c r="D199" s="238" t="str">
        <f>VLOOKUP(B199,'MEMÓRIA DE CÁLCULO'!B:H,2,)</f>
        <v>SINAPI 89704</v>
      </c>
      <c r="E199" s="102" t="str">
        <f>VLOOKUP(B199,'MEMÓRIA DE CÁLCULO'!B:H,3,)</f>
        <v>TÊ, PVC, SERIE R, ÁGUA PLUVIAL, DN 150 X 100 MM, JUNTA ELÁSTICA, FORNECIDO E INSTALADO EM CONDUTORES VERTICAIS DE ÁGUAS PLUVIAIS.</v>
      </c>
      <c r="F199" s="106" t="s">
        <v>340</v>
      </c>
      <c r="G199" s="106">
        <f>VLOOKUP(B199,'MEMÓRIA DE CÁLCULO'!B:H,7,)</f>
        <v>7</v>
      </c>
      <c r="H199" s="194">
        <v>122.74</v>
      </c>
      <c r="I199" s="194">
        <v>5.78</v>
      </c>
      <c r="J199" s="128">
        <f t="shared" si="6"/>
        <v>899.63999999999987</v>
      </c>
      <c r="K199" s="271"/>
    </row>
    <row r="200" spans="2:11" s="195" customFormat="1" x14ac:dyDescent="0.25">
      <c r="B200" s="237" t="s">
        <v>1206</v>
      </c>
      <c r="C200" s="105" t="s">
        <v>1187</v>
      </c>
      <c r="D200" s="238" t="str">
        <f>VLOOKUP(B200,'MEMÓRIA DE CÁLCULO'!B:H,2,)</f>
        <v>COMPOSIÇÃO 5</v>
      </c>
      <c r="E200" s="102" t="str">
        <f>VLOOKUP(B200,'MEMÓRIA DE CÁLCULO'!B:H,3,)</f>
        <v>TÊ REDUÇÃO 90° SOLDÁVEL 200X200MM</v>
      </c>
      <c r="F200" s="106" t="s">
        <v>340</v>
      </c>
      <c r="G200" s="106">
        <f>VLOOKUP(B200,'MEMÓRIA DE CÁLCULO'!B:H,7,)</f>
        <v>3</v>
      </c>
      <c r="H200" s="194">
        <v>313.75</v>
      </c>
      <c r="I200" s="194">
        <v>14.09</v>
      </c>
      <c r="J200" s="128">
        <f t="shared" si="6"/>
        <v>983.52</v>
      </c>
      <c r="K200" s="271"/>
    </row>
    <row r="201" spans="2:11" s="195" customFormat="1" ht="33.75" customHeight="1" x14ac:dyDescent="0.25">
      <c r="B201" s="237" t="s">
        <v>1207</v>
      </c>
      <c r="C201" s="105" t="s">
        <v>1187</v>
      </c>
      <c r="D201" s="238" t="str">
        <f>VLOOKUP(B201,'MEMÓRIA DE CÁLCULO'!B:H,2,)</f>
        <v>COMPOSIÇÃO 6</v>
      </c>
      <c r="E201" s="102" t="str">
        <f>VLOOKUP(B201,'MEMÓRIA DE CÁLCULO'!B:H,3,)</f>
        <v>REDUÇÃO CONCENTRICA 200X150MM</v>
      </c>
      <c r="F201" s="106" t="s">
        <v>340</v>
      </c>
      <c r="G201" s="106">
        <f>VLOOKUP(B201,'MEMÓRIA DE CÁLCULO'!B:H,7,)</f>
        <v>3</v>
      </c>
      <c r="H201" s="194">
        <v>130.30000000000001</v>
      </c>
      <c r="I201" s="194">
        <v>5.89</v>
      </c>
      <c r="J201" s="128">
        <f t="shared" si="6"/>
        <v>408.57</v>
      </c>
      <c r="K201" s="271"/>
    </row>
    <row r="202" spans="2:11" s="195" customFormat="1" ht="28.5" x14ac:dyDescent="0.25">
      <c r="B202" s="237" t="s">
        <v>1208</v>
      </c>
      <c r="C202" s="105" t="s">
        <v>30</v>
      </c>
      <c r="D202" s="238" t="str">
        <f>VLOOKUP(B202,'MEMÓRIA DE CÁLCULO'!B:H,2,)</f>
        <v>SINAPI 89590</v>
      </c>
      <c r="E202" s="102" t="str">
        <f>VLOOKUP(B202,'MEMÓRIA DE CÁLCULO'!B:H,3,)</f>
        <v>JOELHO 90 GRAUS, PVC, SERIE R, ÁGUA PLUVIAL, DN 150 MM, JUNTA ELÁSTICA, FORNECIDO E INSTALADO EM CONDUTORES VERTICAIS DE ÁGUAS PLUVIAIS</v>
      </c>
      <c r="F202" s="106" t="s">
        <v>340</v>
      </c>
      <c r="G202" s="106">
        <f>VLOOKUP(B202,'MEMÓRIA DE CÁLCULO'!B:H,7,)</f>
        <v>5</v>
      </c>
      <c r="H202" s="194">
        <v>139.47</v>
      </c>
      <c r="I202" s="194">
        <v>4.2699999999999996</v>
      </c>
      <c r="J202" s="128">
        <f t="shared" si="6"/>
        <v>718.7</v>
      </c>
      <c r="K202" s="271"/>
    </row>
    <row r="203" spans="2:11" s="195" customFormat="1" x14ac:dyDescent="0.25">
      <c r="B203" s="237" t="s">
        <v>1241</v>
      </c>
      <c r="C203" s="105" t="s">
        <v>462</v>
      </c>
      <c r="D203" s="238">
        <f>VLOOKUP(B203,'MEMÓRIA DE CÁLCULO'!B:H,2,)</f>
        <v>82004</v>
      </c>
      <c r="E203" s="102" t="str">
        <f>VLOOKUP(B203,'MEMÓRIA DE CÁLCULO'!B:H,3,)</f>
        <v>LUVA SIMPLES DIAM. 100 MM</v>
      </c>
      <c r="F203" s="106" t="s">
        <v>340</v>
      </c>
      <c r="G203" s="106">
        <f>VLOOKUP(B203,'MEMÓRIA DE CÁLCULO'!B:H,7,)</f>
        <v>9</v>
      </c>
      <c r="H203" s="194">
        <v>6</v>
      </c>
      <c r="I203" s="194">
        <v>5.89</v>
      </c>
      <c r="J203" s="128">
        <f t="shared" si="6"/>
        <v>107.01</v>
      </c>
      <c r="K203" s="271"/>
    </row>
    <row r="204" spans="2:11" s="195" customFormat="1" ht="28.5" x14ac:dyDescent="0.25">
      <c r="B204" s="237" t="s">
        <v>1242</v>
      </c>
      <c r="C204" s="105" t="s">
        <v>30</v>
      </c>
      <c r="D204" s="238" t="str">
        <f>VLOOKUP(B204,'MEMÓRIA DE CÁLCULO'!B:H,2,)</f>
        <v>SINAPI 89677</v>
      </c>
      <c r="E204" s="102" t="str">
        <f>VLOOKUP(B204,'MEMÓRIA DE CÁLCULO'!B:H,3,)</f>
        <v>LUVA SIMPLES, PVC, SERIE R, ÁGUA PLUVIAL, DN 150 MM, JUNTA ELÁSTICA, FORNECIDO E INSTALADO EM CONDUTORES VERTICAIS DE ÁGUAS PLUVIAIS.</v>
      </c>
      <c r="F204" s="106" t="s">
        <v>340</v>
      </c>
      <c r="G204" s="106">
        <f>VLOOKUP(B204,'MEMÓRIA DE CÁLCULO'!B:H,7,)</f>
        <v>6</v>
      </c>
      <c r="H204" s="194">
        <v>66.84</v>
      </c>
      <c r="I204" s="194">
        <v>2.75</v>
      </c>
      <c r="J204" s="128">
        <f t="shared" si="6"/>
        <v>417.54</v>
      </c>
      <c r="K204" s="271"/>
    </row>
    <row r="205" spans="2:11" s="195" customFormat="1" x14ac:dyDescent="0.25">
      <c r="B205" s="237" t="s">
        <v>1243</v>
      </c>
      <c r="C205" s="105" t="s">
        <v>1187</v>
      </c>
      <c r="D205" s="238" t="str">
        <f>VLOOKUP(B205,'MEMÓRIA DE CÁLCULO'!B:H,2,)</f>
        <v>COMPOSIÇÃO 7</v>
      </c>
      <c r="E205" s="102" t="str">
        <f>VLOOKUP(B205,'MEMÓRIA DE CÁLCULO'!B:H,3,)</f>
        <v>JOELHO 90° 200MM</v>
      </c>
      <c r="F205" s="106" t="s">
        <v>340</v>
      </c>
      <c r="G205" s="106">
        <f>VLOOKUP(B205,'MEMÓRIA DE CÁLCULO'!B:H,7,)</f>
        <v>1</v>
      </c>
      <c r="H205" s="194">
        <v>273.02</v>
      </c>
      <c r="I205" s="194">
        <v>5.89</v>
      </c>
      <c r="J205" s="128">
        <f t="shared" si="6"/>
        <v>278.90999999999997</v>
      </c>
      <c r="K205" s="271"/>
    </row>
    <row r="206" spans="2:11" s="195" customFormat="1" x14ac:dyDescent="0.25">
      <c r="B206" s="237" t="s">
        <v>1244</v>
      </c>
      <c r="C206" s="105" t="s">
        <v>1187</v>
      </c>
      <c r="D206" s="238" t="str">
        <f>VLOOKUP(B206,'MEMÓRIA DE CÁLCULO'!B:H,2,)</f>
        <v>COMPOSIÇÃO 8</v>
      </c>
      <c r="E206" s="102" t="str">
        <f>VLOOKUP(B206,'MEMÓRIA DE CÁLCULO'!B:H,3,)</f>
        <v>LUVA SIMPLES DIAM. 200 MM</v>
      </c>
      <c r="F206" s="106" t="s">
        <v>340</v>
      </c>
      <c r="G206" s="106">
        <f>VLOOKUP(B206,'MEMÓRIA DE CÁLCULO'!B:H,7,)</f>
        <v>9</v>
      </c>
      <c r="H206" s="194">
        <v>59.63</v>
      </c>
      <c r="I206" s="194">
        <v>5.89</v>
      </c>
      <c r="J206" s="128">
        <f t="shared" si="6"/>
        <v>589.67999999999995</v>
      </c>
      <c r="K206" s="271"/>
    </row>
    <row r="207" spans="2:11" s="195" customFormat="1" ht="28.5" x14ac:dyDescent="0.25">
      <c r="B207" s="237" t="s">
        <v>1245</v>
      </c>
      <c r="C207" s="105" t="s">
        <v>30</v>
      </c>
      <c r="D207" s="238" t="str">
        <f>VLOOKUP(B207,'MEMÓRIA DE CÁLCULO'!B:H,2,)</f>
        <v>SINAPI 89701</v>
      </c>
      <c r="E207" s="102" t="str">
        <f>VLOOKUP(B207,'MEMÓRIA DE CÁLCULO'!B:H,3,)</f>
        <v>TÊ, PVC, SERIE R, ÁGUA PLUVIAL, DN 150 X 150 MM, JUNTA ELÁSTICA, FORNECIDO  E INSTALADO EM CONDUTORES VERTICAIS DE ÁGUAS PLUVIAIS.</v>
      </c>
      <c r="F207" s="106" t="s">
        <v>340</v>
      </c>
      <c r="G207" s="106">
        <f>VLOOKUP(B207,'MEMÓRIA DE CÁLCULO'!B:H,7,)</f>
        <v>1</v>
      </c>
      <c r="H207" s="194">
        <v>181.55</v>
      </c>
      <c r="I207" s="194">
        <v>5.78</v>
      </c>
      <c r="J207" s="128">
        <f t="shared" si="6"/>
        <v>187.33</v>
      </c>
      <c r="K207" s="271"/>
    </row>
    <row r="208" spans="2:11" s="195" customFormat="1" ht="15" x14ac:dyDescent="0.25">
      <c r="B208" s="589" t="s">
        <v>1075</v>
      </c>
      <c r="C208" s="590"/>
      <c r="D208" s="590"/>
      <c r="E208" s="590"/>
      <c r="F208" s="590"/>
      <c r="G208" s="590"/>
      <c r="H208" s="590"/>
      <c r="I208" s="590"/>
      <c r="J208" s="116">
        <f>SUM(J209:J214)</f>
        <v>3735.1099999999997</v>
      </c>
      <c r="K208" s="271"/>
    </row>
    <row r="209" spans="1:11" s="195" customFormat="1" x14ac:dyDescent="0.25">
      <c r="B209" s="367" t="s">
        <v>1246</v>
      </c>
      <c r="C209" s="355" t="s">
        <v>462</v>
      </c>
      <c r="D209" s="301">
        <f>VLOOKUP(B209,'MEMÓRIA DE CÁLCULO'!B:H,2,)</f>
        <v>85001</v>
      </c>
      <c r="E209" s="302" t="str">
        <f>VLOOKUP(B209,'MEMÓRIA DE CÁLCULO'!B:H,3,)</f>
        <v>EXTINTOR CO2 (6 KG) - CAPACIDADE EXTINTORA 5 BC</v>
      </c>
      <c r="F209" s="303" t="s">
        <v>340</v>
      </c>
      <c r="G209" s="303">
        <f>VLOOKUP(B209,'MEMÓRIA DE CÁLCULO'!B:H,7,)</f>
        <v>3</v>
      </c>
      <c r="H209" s="368">
        <v>497.62</v>
      </c>
      <c r="I209" s="368">
        <v>11.53</v>
      </c>
      <c r="J209" s="128">
        <f t="shared" si="6"/>
        <v>1527.4499999999998</v>
      </c>
      <c r="K209" s="271"/>
    </row>
    <row r="210" spans="1:11" s="195" customFormat="1" x14ac:dyDescent="0.25">
      <c r="B210" s="237" t="s">
        <v>1247</v>
      </c>
      <c r="C210" s="105" t="s">
        <v>462</v>
      </c>
      <c r="D210" s="238">
        <f>VLOOKUP(B210,'MEMÓRIA DE CÁLCULO'!B:H,2,)</f>
        <v>85003</v>
      </c>
      <c r="E210" s="102" t="str">
        <f>VLOOKUP(B210,'MEMÓRIA DE CÁLCULO'!B:H,3,)</f>
        <v>EXTINTOR PO QUIMICO SECO (6 KG) - CAPACIDADE EXTINTORA 20 BC</v>
      </c>
      <c r="F210" s="106" t="s">
        <v>340</v>
      </c>
      <c r="G210" s="106">
        <f>VLOOKUP(B210,'MEMÓRIA DE CÁLCULO'!B:H,7,)</f>
        <v>6</v>
      </c>
      <c r="H210" s="194">
        <v>166.67</v>
      </c>
      <c r="I210" s="194">
        <v>11.53</v>
      </c>
      <c r="J210" s="128">
        <f t="shared" si="6"/>
        <v>1069.1999999999998</v>
      </c>
      <c r="K210" s="271"/>
    </row>
    <row r="211" spans="1:11" s="195" customFormat="1" x14ac:dyDescent="0.25">
      <c r="B211" s="237" t="s">
        <v>1248</v>
      </c>
      <c r="C211" s="105" t="s">
        <v>1187</v>
      </c>
      <c r="D211" s="238" t="str">
        <f>VLOOKUP(B211,'MEMÓRIA DE CÁLCULO'!B:H,2,)</f>
        <v>COMPOSIÇÃO 10</v>
      </c>
      <c r="E211" s="102" t="str">
        <f>VLOOKUP(B211,'MEMÓRIA DE CÁLCULO'!B:H,3,)</f>
        <v>PLACA DE SINALIZAÇÃO - 13X26 CM - LETREIRO SAÍDA</v>
      </c>
      <c r="F211" s="106" t="s">
        <v>340</v>
      </c>
      <c r="G211" s="106">
        <f>VLOOKUP(B211,'MEMÓRIA DE CÁLCULO'!B:H,7,)</f>
        <v>16</v>
      </c>
      <c r="H211" s="194">
        <v>29.91</v>
      </c>
      <c r="I211" s="194">
        <v>1.45</v>
      </c>
      <c r="J211" s="128">
        <f t="shared" si="6"/>
        <v>501.76</v>
      </c>
      <c r="K211" s="271"/>
    </row>
    <row r="212" spans="1:11" s="195" customFormat="1" x14ac:dyDescent="0.25">
      <c r="B212" s="237" t="s">
        <v>1249</v>
      </c>
      <c r="C212" s="105" t="s">
        <v>1187</v>
      </c>
      <c r="D212" s="238" t="str">
        <f>VLOOKUP(B212,'MEMÓRIA DE CÁLCULO'!B:H,2,)</f>
        <v>COMPOSIÇÃO 11</v>
      </c>
      <c r="E212" s="102" t="str">
        <f>VLOOKUP(B212,'MEMÓRIA DE CÁLCULO'!B:H,3,)</f>
        <v>PLACA DE SINALIZAÇÃO - 13X26 CM - SAÍDA SETA DIREITA</v>
      </c>
      <c r="F212" s="106" t="s">
        <v>340</v>
      </c>
      <c r="G212" s="106">
        <f>VLOOKUP(B212,'MEMÓRIA DE CÁLCULO'!B:H,7,)</f>
        <v>6</v>
      </c>
      <c r="H212" s="194">
        <v>29.91</v>
      </c>
      <c r="I212" s="194">
        <v>1.45</v>
      </c>
      <c r="J212" s="128">
        <f t="shared" si="6"/>
        <v>188.16</v>
      </c>
      <c r="K212" s="271"/>
    </row>
    <row r="213" spans="1:11" s="195" customFormat="1" x14ac:dyDescent="0.25">
      <c r="B213" s="237" t="s">
        <v>1250</v>
      </c>
      <c r="C213" s="105" t="s">
        <v>1187</v>
      </c>
      <c r="D213" s="238" t="str">
        <f>VLOOKUP(B213,'MEMÓRIA DE CÁLCULO'!B:H,2,)</f>
        <v>COMPOSIÇÃO 12</v>
      </c>
      <c r="E213" s="102" t="str">
        <f>VLOOKUP(B213,'MEMÓRIA DE CÁLCULO'!B:H,3,)</f>
        <v>PLACA DE SINALIZAÇÃO - 13X26 CM - SAÍDA SETA ESQUERDA</v>
      </c>
      <c r="F213" s="106" t="s">
        <v>340</v>
      </c>
      <c r="G213" s="106">
        <f>VLOOKUP(B213,'MEMÓRIA DE CÁLCULO'!B:H,7,)</f>
        <v>4</v>
      </c>
      <c r="H213" s="194">
        <v>29.91</v>
      </c>
      <c r="I213" s="194">
        <v>1.45</v>
      </c>
      <c r="J213" s="128">
        <f t="shared" si="6"/>
        <v>125.44</v>
      </c>
      <c r="K213" s="271"/>
    </row>
    <row r="214" spans="1:11" s="195" customFormat="1" x14ac:dyDescent="0.25">
      <c r="B214" s="237" t="s">
        <v>1251</v>
      </c>
      <c r="C214" s="105" t="s">
        <v>1187</v>
      </c>
      <c r="D214" s="238" t="str">
        <f>VLOOKUP(B214,'MEMÓRIA DE CÁLCULO'!B:H,2,)</f>
        <v>COMPOSIÇÃO 13</v>
      </c>
      <c r="E214" s="102" t="str">
        <f>VLOOKUP(B214,'MEMÓRIA DE CÁLCULO'!B:H,3,)</f>
        <v>PLACA DE SINALIZAÇÃO - 20X20 CM - EXTINTOR</v>
      </c>
      <c r="F214" s="106" t="s">
        <v>340</v>
      </c>
      <c r="G214" s="106">
        <f>VLOOKUP(B214,'MEMÓRIA DE CÁLCULO'!B:H,7,)</f>
        <v>9</v>
      </c>
      <c r="H214" s="194">
        <v>34.450000000000003</v>
      </c>
      <c r="I214" s="194">
        <v>1.45</v>
      </c>
      <c r="J214" s="128">
        <f t="shared" si="6"/>
        <v>323.10000000000002</v>
      </c>
      <c r="K214" s="271"/>
    </row>
    <row r="215" spans="1:11" s="195" customFormat="1" x14ac:dyDescent="0.25">
      <c r="B215" s="224"/>
      <c r="C215" s="225"/>
      <c r="D215" s="226"/>
      <c r="E215" s="174"/>
      <c r="F215" s="227"/>
      <c r="G215" s="13"/>
      <c r="H215" s="228"/>
      <c r="I215" s="228"/>
      <c r="J215" s="218"/>
      <c r="K215" s="271"/>
    </row>
    <row r="216" spans="1:11" s="195" customFormat="1" ht="15" x14ac:dyDescent="0.25">
      <c r="B216" s="586" t="s">
        <v>977</v>
      </c>
      <c r="C216" s="587"/>
      <c r="D216" s="587"/>
      <c r="E216" s="587"/>
      <c r="F216" s="587"/>
      <c r="G216" s="587"/>
      <c r="H216" s="587"/>
      <c r="I216" s="588"/>
      <c r="J216" s="52">
        <f>SUM(J218:J228)</f>
        <v>8713.9599999999973</v>
      </c>
      <c r="K216" s="271"/>
    </row>
    <row r="217" spans="1:11" s="195" customFormat="1" ht="15" x14ac:dyDescent="0.25">
      <c r="B217" s="22">
        <v>8</v>
      </c>
      <c r="C217" s="591" t="s">
        <v>976</v>
      </c>
      <c r="D217" s="591"/>
      <c r="E217" s="591"/>
      <c r="F217" s="591"/>
      <c r="G217" s="591"/>
      <c r="H217" s="591"/>
      <c r="I217" s="591"/>
      <c r="J217" s="592"/>
      <c r="K217" s="271"/>
    </row>
    <row r="218" spans="1:11" s="195" customFormat="1" ht="14.25" customHeight="1" x14ac:dyDescent="0.25">
      <c r="B218" s="190" t="s">
        <v>1099</v>
      </c>
      <c r="C218" s="196" t="s">
        <v>462</v>
      </c>
      <c r="D218" s="193">
        <f>VLOOKUP(B218,'MEMÓRIA DE CÁLCULO'!B:H,2,)</f>
        <v>91007</v>
      </c>
      <c r="E218" s="102" t="str">
        <f>VLOOKUP(B218,'MEMÓRIA DE CÁLCULO'!B:H,3,)</f>
        <v>CENTRAL DE GÁS PADRÃO GOINFRA/2019 COMPLETA, EXCLUSO AS INSTALAÇÕES MECÂNICAS (1+1 CILINDRO P-45)</v>
      </c>
      <c r="F218" s="111" t="s">
        <v>340</v>
      </c>
      <c r="G218" s="100">
        <f>VLOOKUP(B218,'MEMÓRIA DE CÁLCULO'!B:H,7,)</f>
        <v>1</v>
      </c>
      <c r="H218" s="194">
        <v>5159.3500000000004</v>
      </c>
      <c r="I218" s="194">
        <v>1963.39</v>
      </c>
      <c r="J218" s="128">
        <f>(I218+H218)*G218</f>
        <v>7122.7400000000007</v>
      </c>
      <c r="K218" s="271"/>
    </row>
    <row r="219" spans="1:11" s="21" customFormat="1" x14ac:dyDescent="0.25">
      <c r="A219" s="43"/>
      <c r="B219" s="190" t="s">
        <v>1110</v>
      </c>
      <c r="C219" s="196" t="s">
        <v>462</v>
      </c>
      <c r="D219" s="193">
        <f>VLOOKUP(B219,'MEMÓRIA DE CÁLCULO'!B:H,2,)</f>
        <v>91012</v>
      </c>
      <c r="E219" s="102" t="str">
        <f>VLOOKUP(B219,'MEMÓRIA DE CÁLCULO'!B:H,3,)</f>
        <v>TUBO DE AÇO GALVANIZADO 3/4" SCHEDULE 40, ROSCA NPT - NBR 5590</v>
      </c>
      <c r="F219" s="111" t="s">
        <v>29</v>
      </c>
      <c r="G219" s="100">
        <f>VLOOKUP(B219,'MEMÓRIA DE CÁLCULO'!B:H,7,)</f>
        <v>10</v>
      </c>
      <c r="H219" s="194">
        <v>44.73</v>
      </c>
      <c r="I219" s="194">
        <v>7.68</v>
      </c>
      <c r="J219" s="128">
        <f t="shared" ref="J219:J227" si="7">(I219+H219)*G219</f>
        <v>524.09999999999991</v>
      </c>
      <c r="K219" s="271"/>
    </row>
    <row r="220" spans="1:11" s="43" customFormat="1" x14ac:dyDescent="0.25">
      <c r="B220" s="190" t="s">
        <v>1111</v>
      </c>
      <c r="C220" s="196" t="s">
        <v>462</v>
      </c>
      <c r="D220" s="193">
        <f>VLOOKUP(B220,'MEMÓRIA DE CÁLCULO'!B:H,2,)</f>
        <v>91018</v>
      </c>
      <c r="E220" s="102" t="str">
        <f>VLOOKUP(B220,'MEMÓRIA DE CÁLCULO'!B:H,3,)</f>
        <v>COTOVELO 90º FERRO MALEÁVEL GALVANIZADO 3/4" CLASSE 150 ROSCA NPT NBR 6925</v>
      </c>
      <c r="F220" s="111" t="s">
        <v>340</v>
      </c>
      <c r="G220" s="100">
        <f>VLOOKUP(B220,'MEMÓRIA DE CÁLCULO'!B:H,7,)</f>
        <v>8</v>
      </c>
      <c r="H220" s="194">
        <v>14.2</v>
      </c>
      <c r="I220" s="194">
        <v>8.19</v>
      </c>
      <c r="J220" s="128">
        <f t="shared" si="7"/>
        <v>179.12</v>
      </c>
      <c r="K220" s="271"/>
    </row>
    <row r="221" spans="1:11" s="43" customFormat="1" x14ac:dyDescent="0.25">
      <c r="B221" s="190" t="s">
        <v>1112</v>
      </c>
      <c r="C221" s="196" t="s">
        <v>462</v>
      </c>
      <c r="D221" s="193">
        <f>VLOOKUP(B221,'MEMÓRIA DE CÁLCULO'!B:H,2,)</f>
        <v>91020</v>
      </c>
      <c r="E221" s="102" t="str">
        <f>VLOOKUP(B221,'MEMÓRIA DE CÁLCULO'!B:H,3,)</f>
        <v>TE DE FERRO MALEÁVEL GALVANIZADO 3/4" CLASSE 150 ROSCA NPT NBR 6925</v>
      </c>
      <c r="F221" s="111" t="s">
        <v>340</v>
      </c>
      <c r="G221" s="100">
        <f>VLOOKUP(B221,'MEMÓRIA DE CÁLCULO'!B:H,7,)</f>
        <v>2</v>
      </c>
      <c r="H221" s="194">
        <v>17.93</v>
      </c>
      <c r="I221" s="194">
        <v>9.43</v>
      </c>
      <c r="J221" s="128">
        <f t="shared" si="7"/>
        <v>54.72</v>
      </c>
      <c r="K221" s="271"/>
    </row>
    <row r="222" spans="1:11" s="43" customFormat="1" ht="28.5" x14ac:dyDescent="0.25">
      <c r="B222" s="190" t="s">
        <v>1113</v>
      </c>
      <c r="C222" s="196" t="s">
        <v>462</v>
      </c>
      <c r="D222" s="193">
        <f>VLOOKUP(B222,'MEMÓRIA DE CÁLCULO'!B:H,2,)</f>
        <v>91021</v>
      </c>
      <c r="E222" s="102" t="str">
        <f>VLOOKUP(B222,'MEMÓRIA DE CÁLCULO'!B:H,3,)</f>
        <v>LUVA REDUÇÃO DE FERRO MALEÁVEL GALVANIZADO 3/4" X 1/2", CLASSE 150, ROSCA NPT - NBR 6925</v>
      </c>
      <c r="F222" s="111" t="s">
        <v>340</v>
      </c>
      <c r="G222" s="100">
        <f>VLOOKUP(B222,'MEMÓRIA DE CÁLCULO'!B:H,7,)</f>
        <v>4</v>
      </c>
      <c r="H222" s="194">
        <v>9.9</v>
      </c>
      <c r="I222" s="194">
        <v>4.0999999999999996</v>
      </c>
      <c r="J222" s="128">
        <f t="shared" si="7"/>
        <v>56</v>
      </c>
      <c r="K222" s="271"/>
    </row>
    <row r="223" spans="1:11" s="43" customFormat="1" ht="28.5" x14ac:dyDescent="0.25">
      <c r="B223" s="190" t="s">
        <v>1114</v>
      </c>
      <c r="C223" s="196" t="s">
        <v>462</v>
      </c>
      <c r="D223" s="193">
        <f>VLOOKUP(B223,'MEMÓRIA DE CÁLCULO'!B:H,2,)</f>
        <v>91025</v>
      </c>
      <c r="E223" s="102" t="str">
        <f>VLOOKUP(B223,'MEMÓRIA DE CÁLCULO'!B:H,3,)</f>
        <v>VÁLVULA DE ESFERA TRIPARTIDA 3/4", PASSAGEM PLENA, ROSCA NPT, CLASSE 300 - NORMA ASME B16.34</v>
      </c>
      <c r="F223" s="111" t="s">
        <v>340</v>
      </c>
      <c r="G223" s="100">
        <f>VLOOKUP(B223,'MEMÓRIA DE CÁLCULO'!B:H,7,)</f>
        <v>2</v>
      </c>
      <c r="H223" s="194">
        <v>145.80000000000001</v>
      </c>
      <c r="I223" s="194">
        <v>11.06</v>
      </c>
      <c r="J223" s="128">
        <f t="shared" si="7"/>
        <v>313.72000000000003</v>
      </c>
      <c r="K223" s="271"/>
    </row>
    <row r="224" spans="1:11" s="43" customFormat="1" x14ac:dyDescent="0.25">
      <c r="B224" s="190" t="s">
        <v>1115</v>
      </c>
      <c r="C224" s="196" t="s">
        <v>462</v>
      </c>
      <c r="D224" s="193">
        <f>VLOOKUP(B224,'MEMÓRIA DE CÁLCULO'!B:H,2,)</f>
        <v>91029</v>
      </c>
      <c r="E224" s="102" t="str">
        <f>VLOOKUP(B224,'MEMÓRIA DE CÁLCULO'!B:H,3,)</f>
        <v>VÁLVULA DE RETENÇÃO EM LATÃO 7/16" NS (I) X 1/2" NPT (E)</v>
      </c>
      <c r="F224" s="111" t="s">
        <v>340</v>
      </c>
      <c r="G224" s="100">
        <f>VLOOKUP(B224,'MEMÓRIA DE CÁLCULO'!B:H,7,)</f>
        <v>1</v>
      </c>
      <c r="H224" s="194">
        <v>19.87</v>
      </c>
      <c r="I224" s="194">
        <v>4.0999999999999996</v>
      </c>
      <c r="J224" s="128">
        <f t="shared" si="7"/>
        <v>23.97</v>
      </c>
      <c r="K224" s="271"/>
    </row>
    <row r="225" spans="1:11" s="43" customFormat="1" ht="28.5" x14ac:dyDescent="0.25">
      <c r="B225" s="190" t="s">
        <v>1116</v>
      </c>
      <c r="C225" s="196" t="s">
        <v>462</v>
      </c>
      <c r="D225" s="193">
        <f>VLOOKUP(B225,'MEMÓRIA DE CÁLCULO'!B:H,2,)</f>
        <v>91041</v>
      </c>
      <c r="E225" s="102" t="str">
        <f>VLOOKUP(B225,'MEMÓRIA DE CÁLCULO'!B:H,3,)</f>
        <v>CHICOTE "PIGTAIL" FLEXÍVEL PARA P-45 DE MANGUEIRA NITRÍLICA COM COMPRIMENTO DE 500 MM E ROSCA DAS CONEXÕES DE 7/8" R.E. X 7/16"NS OU M20 X 7/16" NS - NBR 13419</v>
      </c>
      <c r="F225" s="111" t="s">
        <v>340</v>
      </c>
      <c r="G225" s="100">
        <f>VLOOKUP(B225,'MEMÓRIA DE CÁLCULO'!B:H,7,)</f>
        <v>2</v>
      </c>
      <c r="H225" s="194">
        <v>23.31</v>
      </c>
      <c r="I225" s="194">
        <v>7.17</v>
      </c>
      <c r="J225" s="128">
        <f t="shared" si="7"/>
        <v>60.959999999999994</v>
      </c>
      <c r="K225" s="271"/>
    </row>
    <row r="226" spans="1:11" s="43" customFormat="1" ht="47.25" customHeight="1" x14ac:dyDescent="0.25">
      <c r="B226" s="190" t="s">
        <v>1117</v>
      </c>
      <c r="C226" s="196" t="s">
        <v>462</v>
      </c>
      <c r="D226" s="193">
        <f>VLOOKUP(B226,'MEMÓRIA DE CÁLCULO'!B:H,2,)</f>
        <v>91045</v>
      </c>
      <c r="E226" s="102" t="str">
        <f>VLOOKUP(B226,'MEMÓRIA DE CÁLCULO'!B:H,3,)</f>
        <v>SUPORTE "L" , EM FERRO CHATO 1/8" X 1" PINTADO (42CM) PARA TUBO DE AÇO GALVANIZADO 3/4" - INCLUSO ABRAÇADEIRA TIPO "U" 3/4"/PARAFUSOS/PORCAS/ ARRUELAS, BEM COMO A FIXAÇÃO NA PAREDE COM BUCHAS/PARAFUSOS.</v>
      </c>
      <c r="F226" s="111" t="s">
        <v>340</v>
      </c>
      <c r="G226" s="100">
        <f>VLOOKUP(B226,'MEMÓRIA DE CÁLCULO'!B:H,7,)</f>
        <v>2</v>
      </c>
      <c r="H226" s="194">
        <v>6.32</v>
      </c>
      <c r="I226" s="194">
        <v>6.65</v>
      </c>
      <c r="J226" s="128">
        <f t="shared" si="7"/>
        <v>25.94</v>
      </c>
      <c r="K226" s="271"/>
    </row>
    <row r="227" spans="1:11" s="43" customFormat="1" x14ac:dyDescent="0.25">
      <c r="B227" s="190" t="s">
        <v>1118</v>
      </c>
      <c r="C227" s="196" t="s">
        <v>462</v>
      </c>
      <c r="D227" s="193">
        <f>VLOOKUP(B227,'MEMÓRIA DE CÁLCULO'!B:H,2,)</f>
        <v>91046</v>
      </c>
      <c r="E227" s="102" t="str">
        <f>VLOOKUP(B227,'MEMÓRIA DE CÁLCULO'!B:H,3,)</f>
        <v>PLACA DE SINALIZAÇÃO EM ALUMÍNIO 35 X 25 CM - "PERIGO - GÁS INFLAMÁVEL - PROIBIDO FUMAR</v>
      </c>
      <c r="F227" s="111" t="s">
        <v>340</v>
      </c>
      <c r="G227" s="100">
        <f>VLOOKUP(B227,'MEMÓRIA DE CÁLCULO'!B:H,7,)</f>
        <v>1</v>
      </c>
      <c r="H227" s="194">
        <v>37.130000000000003</v>
      </c>
      <c r="I227" s="194">
        <v>0.93</v>
      </c>
      <c r="J227" s="128">
        <f t="shared" si="7"/>
        <v>38.06</v>
      </c>
      <c r="K227" s="271"/>
    </row>
    <row r="228" spans="1:11" s="43" customFormat="1" ht="42.75" x14ac:dyDescent="0.25">
      <c r="B228" s="190" t="s">
        <v>1119</v>
      </c>
      <c r="C228" s="196" t="s">
        <v>462</v>
      </c>
      <c r="D228" s="193">
        <f>VLOOKUP(B228,'MEMÓRIA DE CÁLCULO'!B:H,2,)</f>
        <v>91011</v>
      </c>
      <c r="E228" s="102" t="str">
        <f>VLOOKUP(B228,'MEMÓRIA DE CÁLCULO'!B:H,3,)</f>
        <v>REGULADOR DE PRESSÃO PRIMEIRO ESTÁGIO, 8 KG/H, REGULÁVEL COM MANÔMETRO, PRESSÃO DE ENTRADA 2 A 18 BAR E PRESSÃO DE SAÍDA 0,5 A 2 BAR, CONEXÕES DE ENTRADA E SAÍDA 1/4" NPT</v>
      </c>
      <c r="F228" s="111" t="s">
        <v>340</v>
      </c>
      <c r="G228" s="100">
        <f>VLOOKUP(B228,'MEMÓRIA DE CÁLCULO'!B:H,7,)</f>
        <v>1</v>
      </c>
      <c r="H228" s="194">
        <v>303.57</v>
      </c>
      <c r="I228" s="194">
        <v>11.06</v>
      </c>
      <c r="J228" s="128">
        <f t="shared" ref="J228" si="8">(I228+H228)*G228</f>
        <v>314.63</v>
      </c>
      <c r="K228" s="271"/>
    </row>
    <row r="229" spans="1:11" s="43" customFormat="1" x14ac:dyDescent="0.25">
      <c r="B229" s="224"/>
      <c r="C229" s="225"/>
      <c r="D229" s="226"/>
      <c r="E229" s="174"/>
      <c r="F229" s="227"/>
      <c r="G229" s="13"/>
      <c r="H229" s="228"/>
      <c r="I229" s="228"/>
      <c r="J229" s="218"/>
      <c r="K229" s="271"/>
    </row>
    <row r="230" spans="1:11" s="21" customFormat="1" ht="15" x14ac:dyDescent="0.25">
      <c r="A230" s="43"/>
      <c r="B230" s="586" t="s">
        <v>47</v>
      </c>
      <c r="C230" s="587"/>
      <c r="D230" s="587"/>
      <c r="E230" s="587"/>
      <c r="F230" s="587"/>
      <c r="G230" s="587"/>
      <c r="H230" s="587"/>
      <c r="I230" s="588"/>
      <c r="J230" s="52">
        <f>SUM(J232:J234)</f>
        <v>18072.32185</v>
      </c>
      <c r="K230" s="271"/>
    </row>
    <row r="231" spans="1:11" s="21" customFormat="1" ht="15" x14ac:dyDescent="0.25">
      <c r="A231" s="43"/>
      <c r="B231" s="22">
        <v>9</v>
      </c>
      <c r="C231" s="591" t="s">
        <v>61</v>
      </c>
      <c r="D231" s="591"/>
      <c r="E231" s="591"/>
      <c r="F231" s="591"/>
      <c r="G231" s="591"/>
      <c r="H231" s="591"/>
      <c r="I231" s="591"/>
      <c r="J231" s="592"/>
      <c r="K231" s="271"/>
    </row>
    <row r="232" spans="1:11" s="21" customFormat="1" x14ac:dyDescent="0.25">
      <c r="A232" s="43"/>
      <c r="B232" s="237" t="s">
        <v>83</v>
      </c>
      <c r="C232" s="99" t="s">
        <v>462</v>
      </c>
      <c r="D232" s="189">
        <f>VLOOKUP(B232,'MEMÓRIA DE CÁLCULO'!B:H,2,)</f>
        <v>100160</v>
      </c>
      <c r="E232" s="102" t="str">
        <f>VLOOKUP(B232,'MEMÓRIA DE CÁLCULO'!B:H,3,)</f>
        <v>ALVENARIA DE TIJOLO FURADO 1/2 VEZ 14X29X9 - 6 FUROS - ARG. (1CALH:4ARML+100KG DE CI/M3)</v>
      </c>
      <c r="F232" s="100" t="s">
        <v>24</v>
      </c>
      <c r="G232" s="100">
        <f>VLOOKUP(B232,'MEMÓRIA DE CÁLCULO'!B:H,7,)</f>
        <v>253.61499999999998</v>
      </c>
      <c r="H232" s="122">
        <v>16</v>
      </c>
      <c r="I232" s="122">
        <v>20.07</v>
      </c>
      <c r="J232" s="128">
        <f t="shared" ref="J232:J233" si="9">(I232+H232)*G232</f>
        <v>9147.8930499999988</v>
      </c>
      <c r="K232" s="271"/>
    </row>
    <row r="233" spans="1:11" s="21" customFormat="1" x14ac:dyDescent="0.25">
      <c r="A233" s="43"/>
      <c r="B233" s="237" t="s">
        <v>106</v>
      </c>
      <c r="C233" s="99" t="s">
        <v>462</v>
      </c>
      <c r="D233" s="189">
        <f>VLOOKUP(B233,'MEMÓRIA DE CÁLCULO'!B:H,2,)</f>
        <v>100320</v>
      </c>
      <c r="E233" s="102" t="str">
        <f>VLOOKUP(B233,'MEMÓRIA DE CÁLCULO'!B:H,3,)</f>
        <v>DIVISORIA DE GRANITO POLIDO</v>
      </c>
      <c r="F233" s="100" t="s">
        <v>24</v>
      </c>
      <c r="G233" s="100">
        <f>VLOOKUP(B233,'MEMÓRIA DE CÁLCULO'!B:H,7,)</f>
        <v>18.720000000000002</v>
      </c>
      <c r="H233" s="122">
        <v>425.59</v>
      </c>
      <c r="I233" s="122">
        <v>42.3</v>
      </c>
      <c r="J233" s="128">
        <f t="shared" si="9"/>
        <v>8758.9008000000013</v>
      </c>
      <c r="K233" s="271"/>
    </row>
    <row r="234" spans="1:11" s="43" customFormat="1" ht="15" customHeight="1" x14ac:dyDescent="0.25">
      <c r="B234" s="237" t="s">
        <v>1052</v>
      </c>
      <c r="C234" s="99" t="s">
        <v>462</v>
      </c>
      <c r="D234" s="189">
        <f>VLOOKUP(B234,'MEMÓRIA DE CÁLCULO'!B:H,2,)</f>
        <v>100502</v>
      </c>
      <c r="E234" s="102" t="str">
        <f>VLOOKUP(B234,'MEMÓRIA DE CÁLCULO'!B:H,3,)</f>
        <v>ELEMENTO VAZADO CERAMICO (6 x 18 x 18)</v>
      </c>
      <c r="F234" s="100" t="s">
        <v>24</v>
      </c>
      <c r="G234" s="100">
        <f>VLOOKUP(B234,'MEMÓRIA DE CÁLCULO'!B:H,7,)</f>
        <v>1.7600000000000002</v>
      </c>
      <c r="H234" s="122">
        <v>54.76</v>
      </c>
      <c r="I234" s="122">
        <v>39.29</v>
      </c>
      <c r="J234" s="128">
        <f t="shared" ref="J234" si="10">(I234+H234)*G234</f>
        <v>165.52800000000002</v>
      </c>
      <c r="K234" s="271"/>
    </row>
    <row r="235" spans="1:11" s="43" customFormat="1" ht="15" customHeight="1" x14ac:dyDescent="0.25">
      <c r="B235" s="204"/>
      <c r="C235" s="319"/>
      <c r="D235" s="222"/>
      <c r="E235" s="174"/>
      <c r="F235" s="13"/>
      <c r="G235" s="13"/>
      <c r="H235" s="46"/>
      <c r="I235" s="46"/>
      <c r="J235" s="218"/>
      <c r="K235" s="271"/>
    </row>
    <row r="236" spans="1:11" s="21" customFormat="1" ht="15" x14ac:dyDescent="0.25">
      <c r="A236" s="43"/>
      <c r="B236" s="586" t="s">
        <v>48</v>
      </c>
      <c r="C236" s="587"/>
      <c r="D236" s="587"/>
      <c r="E236" s="587"/>
      <c r="F236" s="587"/>
      <c r="G236" s="587"/>
      <c r="H236" s="587"/>
      <c r="I236" s="588"/>
      <c r="J236" s="52">
        <f>SUM(J238:J242)</f>
        <v>19909.167127000001</v>
      </c>
      <c r="K236" s="271"/>
    </row>
    <row r="237" spans="1:11" s="21" customFormat="1" ht="15" x14ac:dyDescent="0.25">
      <c r="A237" s="43"/>
      <c r="B237" s="22">
        <v>10</v>
      </c>
      <c r="C237" s="591" t="s">
        <v>71</v>
      </c>
      <c r="D237" s="591"/>
      <c r="E237" s="591"/>
      <c r="F237" s="591"/>
      <c r="G237" s="591"/>
      <c r="H237" s="591"/>
      <c r="I237" s="591"/>
      <c r="J237" s="592"/>
      <c r="K237" s="271"/>
    </row>
    <row r="238" spans="1:11" s="21" customFormat="1" x14ac:dyDescent="0.25">
      <c r="A238" s="43"/>
      <c r="B238" s="367" t="s">
        <v>94</v>
      </c>
      <c r="C238" s="355" t="s">
        <v>462</v>
      </c>
      <c r="D238" s="301">
        <f>VLOOKUP(B238,'MEMÓRIA DE CÁLCULO'!B:H,2,)</f>
        <v>120208</v>
      </c>
      <c r="E238" s="302" t="str">
        <f>VLOOKUP(B238,'MEMÓRIA DE CÁLCULO'!B:H,3,)</f>
        <v>IMPERMEABILIZACAO-ARGAM. SINT.SEMI - FLEXIVEL</v>
      </c>
      <c r="F238" s="303" t="s">
        <v>24</v>
      </c>
      <c r="G238" s="303">
        <f>VLOOKUP(B238,'MEMÓRIA DE CÁLCULO'!B:H,7,)</f>
        <v>170.0215</v>
      </c>
      <c r="H238" s="369">
        <v>8.19</v>
      </c>
      <c r="I238" s="369">
        <v>9.5399999999999991</v>
      </c>
      <c r="J238" s="305">
        <f>(I238+H238)*G238</f>
        <v>3014.4811949999994</v>
      </c>
      <c r="K238" s="271"/>
    </row>
    <row r="239" spans="1:11" s="21" customFormat="1" x14ac:dyDescent="0.25">
      <c r="A239" s="43"/>
      <c r="B239" s="129" t="s">
        <v>463</v>
      </c>
      <c r="C239" s="99" t="s">
        <v>462</v>
      </c>
      <c r="D239" s="238">
        <f>VLOOKUP(B239,'MEMÓRIA DE CÁLCULO'!B:H,2,)</f>
        <v>120107</v>
      </c>
      <c r="E239" s="102" t="str">
        <f>VLOOKUP(B239,'MEMÓRIA DE CÁLCULO'!B:H,3,)</f>
        <v>MANTA ASFÁLTICA TIPO III - B ( 3 MM)</v>
      </c>
      <c r="F239" s="106" t="s">
        <v>24</v>
      </c>
      <c r="G239" s="106">
        <f>VLOOKUP(B239,'MEMÓRIA DE CÁLCULO'!B:H,7,)</f>
        <v>100.3647</v>
      </c>
      <c r="H239" s="121">
        <v>50.07</v>
      </c>
      <c r="I239" s="121">
        <v>16.989999999999998</v>
      </c>
      <c r="J239" s="131">
        <f>(I239+H239)*G239</f>
        <v>6730.4567820000002</v>
      </c>
      <c r="K239" s="271"/>
    </row>
    <row r="240" spans="1:11" s="195" customFormat="1" ht="42.75" x14ac:dyDescent="0.25">
      <c r="B240" s="190" t="s">
        <v>978</v>
      </c>
      <c r="C240" s="110" t="s">
        <v>462</v>
      </c>
      <c r="D240" s="198">
        <f>VLOOKUP(B240,'MEMÓRIA DE CÁLCULO'!B:H,2,)</f>
        <v>121105</v>
      </c>
      <c r="E240" s="102" t="str">
        <f>VLOOKUP(B240,'MEMÓRIA DE CÁLCULO'!B:H,3,)</f>
        <v>IMPERMEABILIZAÇÃO DE ALICERCE / "PÉ" DE PAREDE / PEITORIL E ALVENARIA DE UM MODO GERAL COM CIMENTO CRISTALIZANTE SEMI FLEXÍVEL - 2 DEMÃOS ( ESPECÍFICO PARA OBRAS DE REFORMA)</v>
      </c>
      <c r="F240" s="191" t="s">
        <v>24</v>
      </c>
      <c r="G240" s="106">
        <f>VLOOKUP(B240,'MEMÓRIA DE CÁLCULO'!B:H,7,)</f>
        <v>662.23174999999992</v>
      </c>
      <c r="H240" s="199">
        <v>7.53</v>
      </c>
      <c r="I240" s="199">
        <v>2.75</v>
      </c>
      <c r="J240" s="131">
        <f>(I240+H240)*G240</f>
        <v>6807.7423900000003</v>
      </c>
      <c r="K240" s="271"/>
    </row>
    <row r="241" spans="1:11" s="43" customFormat="1" x14ac:dyDescent="0.25">
      <c r="B241" s="129" t="s">
        <v>979</v>
      </c>
      <c r="C241" s="99" t="s">
        <v>462</v>
      </c>
      <c r="D241" s="238">
        <f>VLOOKUP(B241,'MEMÓRIA DE CÁLCULO'!B:H,2,)</f>
        <v>121001</v>
      </c>
      <c r="E241" s="102" t="str">
        <f>VLOOKUP(B241,'MEMÓRIA DE CÁLCULO'!B:H,3,)</f>
        <v>IMPERMEABILIZAÇÃO-REBAIXO BANHEIRO COM 4 DEMÃOS DE EMULSÃO ASFÁLTICA</v>
      </c>
      <c r="F241" s="106" t="s">
        <v>24</v>
      </c>
      <c r="G241" s="106">
        <f>VLOOKUP(B241,'MEMÓRIA DE CÁLCULO'!B:H,7,)</f>
        <v>4.9589999999999996</v>
      </c>
      <c r="H241" s="121">
        <v>7.8</v>
      </c>
      <c r="I241" s="121">
        <v>1.84</v>
      </c>
      <c r="J241" s="131">
        <f t="shared" ref="J241:J242" si="11">(I241+H241)*G241</f>
        <v>47.804760000000002</v>
      </c>
      <c r="K241" s="271"/>
    </row>
    <row r="242" spans="1:11" s="43" customFormat="1" ht="28.5" x14ac:dyDescent="0.25">
      <c r="B242" s="237" t="s">
        <v>980</v>
      </c>
      <c r="C242" s="99" t="s">
        <v>30</v>
      </c>
      <c r="D242" s="238" t="str">
        <f>VLOOKUP(B242,'MEMÓRIA DE CÁLCULO'!B:H,2,)</f>
        <v>SINAPI 98561</v>
      </c>
      <c r="E242" s="102" t="str">
        <f>VLOOKUP(B242,'MEMÓRIA DE CÁLCULO'!B:H,3,)</f>
        <v>IMPERMEABILIZAÇÃO DE PAREDES COM ARGAMASSA DE CIMENTO E AREIA, COM ADITIVO  IMPERMEABILIZANTE, E = 2CM</v>
      </c>
      <c r="F242" s="106" t="s">
        <v>24</v>
      </c>
      <c r="G242" s="106">
        <f>VLOOKUP(B242,'MEMÓRIA DE CÁLCULO'!B:H,7,)</f>
        <v>97.89</v>
      </c>
      <c r="H242" s="121">
        <v>16.989999999999998</v>
      </c>
      <c r="I242" s="121">
        <v>16.809999999999999</v>
      </c>
      <c r="J242" s="131">
        <f t="shared" si="11"/>
        <v>3308.6819999999998</v>
      </c>
      <c r="K242" s="271"/>
    </row>
    <row r="243" spans="1:11" s="43" customFormat="1" x14ac:dyDescent="0.25">
      <c r="B243" s="204"/>
      <c r="C243" s="319"/>
      <c r="D243" s="146"/>
      <c r="E243" s="174"/>
      <c r="F243" s="148"/>
      <c r="G243" s="148"/>
      <c r="H243" s="207"/>
      <c r="I243" s="207"/>
      <c r="J243" s="208"/>
      <c r="K243" s="271"/>
    </row>
    <row r="244" spans="1:11" s="21" customFormat="1" ht="15" x14ac:dyDescent="0.25">
      <c r="A244" s="43"/>
      <c r="B244" s="637" t="s">
        <v>49</v>
      </c>
      <c r="C244" s="638"/>
      <c r="D244" s="638"/>
      <c r="E244" s="638"/>
      <c r="F244" s="638"/>
      <c r="G244" s="638"/>
      <c r="H244" s="638"/>
      <c r="I244" s="638"/>
      <c r="J244" s="52">
        <f>SUM(J246:J247)</f>
        <v>6893.1163800000004</v>
      </c>
      <c r="K244" s="271"/>
    </row>
    <row r="245" spans="1:11" s="43" customFormat="1" ht="15" x14ac:dyDescent="0.25">
      <c r="B245" s="22">
        <v>11</v>
      </c>
      <c r="C245" s="614" t="s">
        <v>72</v>
      </c>
      <c r="D245" s="584"/>
      <c r="E245" s="584"/>
      <c r="F245" s="584"/>
      <c r="G245" s="584"/>
      <c r="H245" s="584"/>
      <c r="I245" s="584"/>
      <c r="J245" s="585"/>
      <c r="K245" s="271"/>
    </row>
    <row r="246" spans="1:11" s="43" customFormat="1" x14ac:dyDescent="0.25">
      <c r="B246" s="129" t="s">
        <v>84</v>
      </c>
      <c r="C246" s="110" t="s">
        <v>462</v>
      </c>
      <c r="D246" s="238">
        <f>VLOOKUP(B246,'MEMÓRIA DE CÁLCULO'!B:H,2,)</f>
        <v>140201</v>
      </c>
      <c r="E246" s="102" t="str">
        <f>VLOOKUP(B246,'MEMÓRIA DE CÁLCULO'!B:H,3,)</f>
        <v>ESTRUT.-TELHA DE FIBROCIMENTO (C/TESOURA) C/FERRAGENS</v>
      </c>
      <c r="F246" s="106" t="s">
        <v>24</v>
      </c>
      <c r="G246" s="106">
        <f>VLOOKUP(B246,'MEMÓRIA DE CÁLCULO'!B:H,7,)</f>
        <v>92.474999999999994</v>
      </c>
      <c r="H246" s="121">
        <v>47.85</v>
      </c>
      <c r="I246" s="121">
        <v>25.61</v>
      </c>
      <c r="J246" s="131">
        <f>(I246+H246)*G246</f>
        <v>6793.2135000000007</v>
      </c>
      <c r="K246" s="271"/>
    </row>
    <row r="247" spans="1:11" s="43" customFormat="1" ht="23.25" customHeight="1" x14ac:dyDescent="0.25">
      <c r="B247" s="129" t="s">
        <v>1149</v>
      </c>
      <c r="C247" s="99" t="s">
        <v>462</v>
      </c>
      <c r="D247" s="238">
        <f>VLOOKUP(B247,'MEMÓRIA DE CÁLCULO'!B:H,2,)</f>
        <v>140200</v>
      </c>
      <c r="E247" s="102" t="str">
        <f>VLOOKUP(B247,'MEMÓRIA DE CÁLCULO'!B:H,3,)</f>
        <v>EST.MAD.TELHA FIBROCIM. COM APOIOS EM LAJES/VIGAS OU PAREDES(SOMENTE TERÇAS ) C/FERRAGENS</v>
      </c>
      <c r="F247" s="106" t="s">
        <v>24</v>
      </c>
      <c r="G247" s="106">
        <f>VLOOKUP(B247,'MEMÓRIA DE CÁLCULO'!B:H,7,)</f>
        <v>2.7720000000000002</v>
      </c>
      <c r="H247" s="121">
        <v>24.99</v>
      </c>
      <c r="I247" s="121">
        <v>11.05</v>
      </c>
      <c r="J247" s="131">
        <f>(I247+H247)*G247</f>
        <v>99.90288000000001</v>
      </c>
      <c r="K247" s="271"/>
    </row>
    <row r="248" spans="1:11" s="43" customFormat="1" ht="15" customHeight="1" x14ac:dyDescent="0.25">
      <c r="B248" s="241"/>
      <c r="C248" s="242"/>
      <c r="D248" s="242"/>
      <c r="E248" s="242"/>
      <c r="F248" s="242"/>
      <c r="G248" s="242"/>
      <c r="H248" s="242"/>
      <c r="I248" s="242"/>
      <c r="J248" s="243"/>
      <c r="K248" s="271"/>
    </row>
    <row r="249" spans="1:11" s="21" customFormat="1" ht="15" x14ac:dyDescent="0.25">
      <c r="A249" s="43"/>
      <c r="B249" s="586" t="s">
        <v>50</v>
      </c>
      <c r="C249" s="587"/>
      <c r="D249" s="587"/>
      <c r="E249" s="587"/>
      <c r="F249" s="587"/>
      <c r="G249" s="587"/>
      <c r="H249" s="587"/>
      <c r="I249" s="588"/>
      <c r="J249" s="52">
        <f>SUM(J251:J253)</f>
        <v>23182.703699999998</v>
      </c>
      <c r="K249" s="271"/>
    </row>
    <row r="250" spans="1:11" s="43" customFormat="1" ht="15" x14ac:dyDescent="0.25">
      <c r="B250" s="22">
        <v>12</v>
      </c>
      <c r="C250" s="614" t="s">
        <v>73</v>
      </c>
      <c r="D250" s="584"/>
      <c r="E250" s="584"/>
      <c r="F250" s="584"/>
      <c r="G250" s="584"/>
      <c r="H250" s="584"/>
      <c r="I250" s="584"/>
      <c r="J250" s="585"/>
      <c r="K250" s="271"/>
    </row>
    <row r="251" spans="1:11" s="43" customFormat="1" x14ac:dyDescent="0.25">
      <c r="B251" s="299" t="s">
        <v>92</v>
      </c>
      <c r="C251" s="300" t="s">
        <v>462</v>
      </c>
      <c r="D251" s="301">
        <f>VLOOKUP(B251,'MEMÓRIA DE CÁLCULO'!B:H,2,)</f>
        <v>160501</v>
      </c>
      <c r="E251" s="302" t="str">
        <f>VLOOKUP(B251,'MEMÓRIA DE CÁLCULO'!B:H,3,)</f>
        <v>COBERTURA COM TELHA ONDULADA OU EQUIV.</v>
      </c>
      <c r="F251" s="303" t="s">
        <v>24</v>
      </c>
      <c r="G251" s="303">
        <f>VLOOKUP(B251,'MEMÓRIA DE CÁLCULO'!B:H,7,)</f>
        <v>95.247</v>
      </c>
      <c r="H251" s="304">
        <v>28.47</v>
      </c>
      <c r="I251" s="304">
        <v>5.63</v>
      </c>
      <c r="J251" s="305">
        <f>(I251+H251)*G251</f>
        <v>3247.9227000000001</v>
      </c>
      <c r="K251" s="271"/>
    </row>
    <row r="252" spans="1:11" s="43" customFormat="1" ht="28.5" x14ac:dyDescent="0.25">
      <c r="B252" s="129" t="s">
        <v>93</v>
      </c>
      <c r="C252" s="99" t="s">
        <v>30</v>
      </c>
      <c r="D252" s="238" t="str">
        <f>VLOOKUP(B252,'MEMÓRIA DE CÁLCULO'!B:H,2,)</f>
        <v>SINAPI 94228</v>
      </c>
      <c r="E252" s="102" t="str">
        <f>VLOOKUP(B252,'MEMÓRIA DE CÁLCULO'!B:H,3,)</f>
        <v>CALHA EM CHAPA DE AÇO GALVANIZADO NÚMERO 24, DESENVOLVIMENTO DE 50 CM, INCLUSO TRANSPORTE VERTICAL.</v>
      </c>
      <c r="F252" s="106" t="s">
        <v>29</v>
      </c>
      <c r="G252" s="106">
        <f>VLOOKUP(B252,'MEMÓRIA DE CÁLCULO'!B:H,7,)</f>
        <v>130.19999999999999</v>
      </c>
      <c r="H252" s="121">
        <v>92.57</v>
      </c>
      <c r="I252" s="121">
        <v>8.36</v>
      </c>
      <c r="J252" s="131">
        <f>(I252+H252)*G252</f>
        <v>13141.085999999998</v>
      </c>
      <c r="K252" s="271"/>
    </row>
    <row r="253" spans="1:11" s="43" customFormat="1" x14ac:dyDescent="0.25">
      <c r="B253" s="129" t="s">
        <v>1033</v>
      </c>
      <c r="C253" s="99" t="s">
        <v>462</v>
      </c>
      <c r="D253" s="238">
        <f>VLOOKUP(B253,'MEMÓRIA DE CÁLCULO'!B:H,2,)</f>
        <v>160602</v>
      </c>
      <c r="E253" s="102" t="str">
        <f>VLOOKUP(B253,'MEMÓRIA DE CÁLCULO'!B:H,3,)</f>
        <v>RUFO DE CHAPA GALVANIZADA</v>
      </c>
      <c r="F253" s="106" t="s">
        <v>29</v>
      </c>
      <c r="G253" s="106">
        <f>VLOOKUP(B253,'MEMÓRIA DE CÁLCULO'!B:H,7,)</f>
        <v>203.1</v>
      </c>
      <c r="H253" s="121">
        <v>20.64</v>
      </c>
      <c r="I253" s="121">
        <v>12.81</v>
      </c>
      <c r="J253" s="131">
        <f>(I253+H253)*G253</f>
        <v>6793.6950000000006</v>
      </c>
      <c r="K253" s="271"/>
    </row>
    <row r="254" spans="1:11" s="43" customFormat="1" x14ac:dyDescent="0.25">
      <c r="B254" s="209"/>
      <c r="C254" s="210"/>
      <c r="D254" s="211"/>
      <c r="E254" s="197"/>
      <c r="F254" s="212"/>
      <c r="G254" s="212"/>
      <c r="H254" s="213"/>
      <c r="I254" s="213"/>
      <c r="J254" s="208"/>
      <c r="K254" s="271"/>
    </row>
    <row r="255" spans="1:11" s="43" customFormat="1" ht="15" x14ac:dyDescent="0.25">
      <c r="B255" s="624" t="s">
        <v>736</v>
      </c>
      <c r="C255" s="625"/>
      <c r="D255" s="625"/>
      <c r="E255" s="625"/>
      <c r="F255" s="625"/>
      <c r="G255" s="625"/>
      <c r="H255" s="625"/>
      <c r="I255" s="625"/>
      <c r="J255" s="53">
        <f>SUM(J257:J258)</f>
        <v>11204.43</v>
      </c>
      <c r="K255" s="271"/>
    </row>
    <row r="256" spans="1:11" s="43" customFormat="1" ht="15" x14ac:dyDescent="0.25">
      <c r="B256" s="22">
        <v>13</v>
      </c>
      <c r="C256" s="614" t="s">
        <v>737</v>
      </c>
      <c r="D256" s="584"/>
      <c r="E256" s="584"/>
      <c r="F256" s="584"/>
      <c r="G256" s="584"/>
      <c r="H256" s="584"/>
      <c r="I256" s="584"/>
      <c r="J256" s="585"/>
      <c r="K256" s="271"/>
    </row>
    <row r="257" spans="2:11" s="43" customFormat="1" x14ac:dyDescent="0.25">
      <c r="B257" s="129" t="s">
        <v>515</v>
      </c>
      <c r="C257" s="99" t="s">
        <v>462</v>
      </c>
      <c r="D257" s="238">
        <f>VLOOKUP(B257,'MEMÓRIA DE CÁLCULO'!B:H,2,)</f>
        <v>170103</v>
      </c>
      <c r="E257" s="102" t="str">
        <f>VLOOKUP(B257,'MEMÓRIA DE CÁLCULO'!B:H,3,)</f>
        <v>PORTA LISA 80x210 C/PORTAL E ALISAR S/FERRAGENS</v>
      </c>
      <c r="F257" s="106" t="s">
        <v>340</v>
      </c>
      <c r="G257" s="106">
        <f>VLOOKUP(B257,'MEMÓRIA DE CÁLCULO'!B:H,7,)</f>
        <v>11</v>
      </c>
      <c r="H257" s="121">
        <v>267.69</v>
      </c>
      <c r="I257" s="121">
        <v>109.44</v>
      </c>
      <c r="J257" s="131">
        <f>(I257+H257)*G257</f>
        <v>4148.43</v>
      </c>
      <c r="K257" s="271"/>
    </row>
    <row r="258" spans="2:11" s="43" customFormat="1" x14ac:dyDescent="0.25">
      <c r="B258" s="129" t="s">
        <v>516</v>
      </c>
      <c r="C258" s="99" t="s">
        <v>462</v>
      </c>
      <c r="D258" s="238">
        <f>VLOOKUP(B258,'MEMÓRIA DE CÁLCULO'!B:H,2,)</f>
        <v>170111</v>
      </c>
      <c r="E258" s="102" t="str">
        <f>VLOOKUP(B258,'MEMÓRIA DE CÁLCULO'!B:H,3,)</f>
        <v>PORTA LISA 100x210 COM PORTAL E ALISAR S/FERRAGENS</v>
      </c>
      <c r="F258" s="106" t="s">
        <v>340</v>
      </c>
      <c r="G258" s="106">
        <f>VLOOKUP(B258,'MEMÓRIA DE CÁLCULO'!B:H,7,)</f>
        <v>15</v>
      </c>
      <c r="H258" s="121">
        <v>360.96</v>
      </c>
      <c r="I258" s="121">
        <v>109.44</v>
      </c>
      <c r="J258" s="131">
        <f>(I258+H258)*G258</f>
        <v>7056</v>
      </c>
      <c r="K258" s="271"/>
    </row>
    <row r="259" spans="2:11" s="43" customFormat="1" x14ac:dyDescent="0.25">
      <c r="B259" s="214"/>
      <c r="C259" s="319"/>
      <c r="D259" s="146"/>
      <c r="E259" s="174"/>
      <c r="F259" s="148"/>
      <c r="G259" s="148"/>
      <c r="H259" s="207"/>
      <c r="I259" s="207"/>
      <c r="J259" s="208"/>
      <c r="K259" s="271"/>
    </row>
    <row r="260" spans="2:11" s="43" customFormat="1" ht="15" x14ac:dyDescent="0.25">
      <c r="B260" s="626" t="s">
        <v>982</v>
      </c>
      <c r="C260" s="627"/>
      <c r="D260" s="627"/>
      <c r="E260" s="627"/>
      <c r="F260" s="627"/>
      <c r="G260" s="627"/>
      <c r="H260" s="627"/>
      <c r="I260" s="628"/>
      <c r="J260" s="53">
        <f>SUM(J262:J269)</f>
        <v>119297.70510000001</v>
      </c>
      <c r="K260" s="271"/>
    </row>
    <row r="261" spans="2:11" s="43" customFormat="1" ht="15" x14ac:dyDescent="0.25">
      <c r="B261" s="22">
        <v>14</v>
      </c>
      <c r="C261" s="591" t="s">
        <v>981</v>
      </c>
      <c r="D261" s="591"/>
      <c r="E261" s="591"/>
      <c r="F261" s="591"/>
      <c r="G261" s="591"/>
      <c r="H261" s="591"/>
      <c r="I261" s="591"/>
      <c r="J261" s="592"/>
      <c r="K261" s="271"/>
    </row>
    <row r="262" spans="2:11" s="43" customFormat="1" ht="28.5" x14ac:dyDescent="0.25">
      <c r="B262" s="299" t="s">
        <v>23</v>
      </c>
      <c r="C262" s="300" t="s">
        <v>30</v>
      </c>
      <c r="D262" s="301" t="str">
        <f>VLOOKUP(B262,'MEMÓRIA DE CÁLCULO'!B:H,2,)</f>
        <v>94573 SINAPI</v>
      </c>
      <c r="E262" s="302" t="str">
        <f>VLOOKUP(B262,'MEMÓRIA DE CÁLCULO'!B:H,3,)</f>
        <v>JANELA DE ALUMÍNIO DE CORRER COM 4 FOLHAS PARA VIDROS, COM VIDROS, BATENTE ACABAMENTO COM ACETATO OU BRILHANTE E FERRAGENS</v>
      </c>
      <c r="F262" s="303" t="s">
        <v>24</v>
      </c>
      <c r="G262" s="303">
        <f>VLOOKUP(B262,'MEMÓRIA DE CÁLCULO'!B:H,7,)</f>
        <v>119.91499999999999</v>
      </c>
      <c r="H262" s="304">
        <v>304.61</v>
      </c>
      <c r="I262" s="304">
        <v>18.71</v>
      </c>
      <c r="J262" s="305">
        <f>(H262+I262)*G262</f>
        <v>38770.917799999996</v>
      </c>
      <c r="K262" s="271"/>
    </row>
    <row r="263" spans="2:11" s="43" customFormat="1" x14ac:dyDescent="0.25">
      <c r="B263" s="129" t="s">
        <v>1017</v>
      </c>
      <c r="C263" s="99" t="s">
        <v>462</v>
      </c>
      <c r="D263" s="238">
        <f>VLOOKUP(B263,'MEMÓRIA DE CÁLCULO'!B:H,2,)</f>
        <v>180307</v>
      </c>
      <c r="E263" s="102" t="str">
        <f>VLOOKUP(B263,'MEMÓRIA DE CÁLCULO'!B:H,3,)</f>
        <v>PORTAO /CHAPA TRAPEZ / TUBO DE ACO PT-5 C/FERRAGEM</v>
      </c>
      <c r="F263" s="106" t="s">
        <v>24</v>
      </c>
      <c r="G263" s="106">
        <f>VLOOKUP(B263,'MEMÓRIA DE CÁLCULO'!B:H,7,)</f>
        <v>12.16</v>
      </c>
      <c r="H263" s="121">
        <v>437.08</v>
      </c>
      <c r="I263" s="121">
        <v>31.5</v>
      </c>
      <c r="J263" s="131">
        <f>(H263+I263)*G263</f>
        <v>5697.9327999999996</v>
      </c>
      <c r="K263" s="271"/>
    </row>
    <row r="264" spans="2:11" s="43" customFormat="1" x14ac:dyDescent="0.25">
      <c r="B264" s="129" t="s">
        <v>1023</v>
      </c>
      <c r="C264" s="99" t="s">
        <v>462</v>
      </c>
      <c r="D264" s="238">
        <f>VLOOKUP(B264,'MEMÓRIA DE CÁLCULO'!B:H,2,)</f>
        <v>180304</v>
      </c>
      <c r="E264" s="102" t="str">
        <f>VLOOKUP(B264,'MEMÓRIA DE CÁLCULO'!B:H,3,)</f>
        <v>PORTAO DE ABRIR CHAPA 14 PT-4 C/FERRAGENS</v>
      </c>
      <c r="F264" s="106" t="s">
        <v>24</v>
      </c>
      <c r="G264" s="106">
        <f>VLOOKUP(B264,'MEMÓRIA DE CÁLCULO'!B:H,7,)</f>
        <v>3.75</v>
      </c>
      <c r="H264" s="121">
        <v>446.29</v>
      </c>
      <c r="I264" s="121">
        <v>31.5</v>
      </c>
      <c r="J264" s="131">
        <f t="shared" ref="J264:J265" si="12">(H264+I264)*G264</f>
        <v>1791.7125000000001</v>
      </c>
      <c r="K264" s="271"/>
    </row>
    <row r="265" spans="2:11" s="43" customFormat="1" x14ac:dyDescent="0.25">
      <c r="B265" s="129" t="s">
        <v>1024</v>
      </c>
      <c r="C265" s="99" t="s">
        <v>462</v>
      </c>
      <c r="D265" s="238">
        <f>VLOOKUP(B265,'MEMÓRIA DE CÁLCULO'!B:H,2,)</f>
        <v>180305</v>
      </c>
      <c r="E265" s="102" t="str">
        <f>VLOOKUP(B265,'MEMÓRIA DE CÁLCULO'!B:H,3,)</f>
        <v>PORTAO DE TELA E CANO GALVANIZ. PT 9 C/FERRAGENS</v>
      </c>
      <c r="F265" s="106" t="s">
        <v>24</v>
      </c>
      <c r="G265" s="106">
        <f>VLOOKUP(B265,'MEMÓRIA DE CÁLCULO'!B:H,7,)</f>
        <v>7.7399999999999984</v>
      </c>
      <c r="H265" s="121">
        <v>505.94</v>
      </c>
      <c r="I265" s="121">
        <v>33.24</v>
      </c>
      <c r="J265" s="131">
        <f t="shared" si="12"/>
        <v>4173.2531999999992</v>
      </c>
      <c r="K265" s="271"/>
    </row>
    <row r="266" spans="2:11" s="43" customFormat="1" x14ac:dyDescent="0.25">
      <c r="B266" s="129" t="s">
        <v>1055</v>
      </c>
      <c r="C266" s="99" t="s">
        <v>462</v>
      </c>
      <c r="D266" s="238">
        <f>VLOOKUP(B266,'MEMÓRIA DE CÁLCULO'!B:H,2,)</f>
        <v>180315</v>
      </c>
      <c r="E266" s="102" t="str">
        <f>VLOOKUP(B266,'MEMÓRIA DE CÁLCULO'!B:H,3,)</f>
        <v>GUARDA CORPO COM CORRIMÃO/TUBO IND. E TELA ARTÍSTICA GC-2</v>
      </c>
      <c r="F266" s="106" t="s">
        <v>24</v>
      </c>
      <c r="G266" s="106">
        <f>VLOOKUP(B266,'MEMÓRIA DE CÁLCULO'!B:H,7,)</f>
        <v>19.649999999999999</v>
      </c>
      <c r="H266" s="121">
        <v>438.47</v>
      </c>
      <c r="I266" s="121">
        <v>12.81</v>
      </c>
      <c r="J266" s="131">
        <f t="shared" ref="J266" si="13">(H266+I266)*G266</f>
        <v>8867.652</v>
      </c>
      <c r="K266" s="271"/>
    </row>
    <row r="267" spans="2:11" s="43" customFormat="1" x14ac:dyDescent="0.25">
      <c r="B267" s="129" t="s">
        <v>1188</v>
      </c>
      <c r="C267" s="99" t="s">
        <v>462</v>
      </c>
      <c r="D267" s="238">
        <f>VLOOKUP(B267,'MEMÓRIA DE CÁLCULO'!B:H,2,)</f>
        <v>180311</v>
      </c>
      <c r="E267" s="102" t="str">
        <f>VLOOKUP(B267,'MEMÓRIA DE CÁLCULO'!B:H,3,)</f>
        <v>GRADE DE PROTECAO/TUBO INDUSTRIAL/FERRO REDONDO-GP5</v>
      </c>
      <c r="F267" s="106" t="s">
        <v>24</v>
      </c>
      <c r="G267" s="106">
        <f>VLOOKUP(B267,'MEMÓRIA DE CÁLCULO'!B:H,7,)</f>
        <v>188.08</v>
      </c>
      <c r="H267" s="121">
        <v>274.43</v>
      </c>
      <c r="I267" s="121">
        <v>17.079999999999998</v>
      </c>
      <c r="J267" s="131">
        <f t="shared" ref="J267" si="14">(H267+I267)*G267</f>
        <v>54827.200799999999</v>
      </c>
      <c r="K267" s="271"/>
    </row>
    <row r="268" spans="2:11" s="43" customFormat="1" x14ac:dyDescent="0.25">
      <c r="B268" s="129" t="s">
        <v>1222</v>
      </c>
      <c r="C268" s="99" t="s">
        <v>462</v>
      </c>
      <c r="D268" s="238">
        <f>VLOOKUP(B268,'MEMÓRIA DE CÁLCULO'!B:H,2,)</f>
        <v>180104</v>
      </c>
      <c r="E268" s="102" t="str">
        <f>VLOOKUP(B268,'MEMÓRIA DE CÁLCULO'!B:H,3,)</f>
        <v>PORTA DE ABRIR ALUMÍNIO NATURAL EM VENEZIANA C/FERRAGENS (M.O.FAB.INC.MAT.)</v>
      </c>
      <c r="F268" s="106" t="s">
        <v>24</v>
      </c>
      <c r="G268" s="106">
        <f>VLOOKUP(B268,'MEMÓRIA DE CÁLCULO'!B:H,7,)</f>
        <v>7.04</v>
      </c>
      <c r="H268" s="121">
        <v>651.21</v>
      </c>
      <c r="I268" s="121">
        <v>30.39</v>
      </c>
      <c r="J268" s="131">
        <f t="shared" ref="J268" si="15">(H268+I268)*G268</f>
        <v>4798.4639999999999</v>
      </c>
      <c r="K268" s="271"/>
    </row>
    <row r="269" spans="2:11" s="43" customFormat="1" x14ac:dyDescent="0.25">
      <c r="B269" s="129" t="s">
        <v>1256</v>
      </c>
      <c r="C269" s="99" t="s">
        <v>462</v>
      </c>
      <c r="D269" s="238">
        <f>VLOOKUP(B269,'MEMÓRIA DE CÁLCULO'!B:H,2,)</f>
        <v>180303</v>
      </c>
      <c r="E269" s="102" t="str">
        <f>VLOOKUP(B269,'MEMÓRIA DE CÁLCULO'!B:H,3,)</f>
        <v>PORTA DE ENROLAR C/FERRAGENS</v>
      </c>
      <c r="F269" s="106" t="s">
        <v>24</v>
      </c>
      <c r="G269" s="106">
        <f>VLOOKUP(B269,'MEMÓRIA DE CÁLCULO'!B:H,7,)</f>
        <v>1.2</v>
      </c>
      <c r="H269" s="121">
        <v>266.87</v>
      </c>
      <c r="I269" s="121">
        <v>41.94</v>
      </c>
      <c r="J269" s="131">
        <f t="shared" ref="J269" si="16">(H269+I269)*G269</f>
        <v>370.572</v>
      </c>
      <c r="K269" s="271"/>
    </row>
    <row r="270" spans="2:11" s="43" customFormat="1" x14ac:dyDescent="0.25">
      <c r="B270" s="214"/>
      <c r="C270" s="319"/>
      <c r="D270" s="146"/>
      <c r="E270" s="174"/>
      <c r="F270" s="148"/>
      <c r="G270" s="148"/>
      <c r="H270" s="207"/>
      <c r="I270" s="207"/>
      <c r="J270" s="208"/>
      <c r="K270" s="271"/>
    </row>
    <row r="271" spans="2:11" s="24" customFormat="1" ht="15" x14ac:dyDescent="0.25">
      <c r="B271" s="626" t="s">
        <v>733</v>
      </c>
      <c r="C271" s="627"/>
      <c r="D271" s="627"/>
      <c r="E271" s="627"/>
      <c r="F271" s="627"/>
      <c r="G271" s="627"/>
      <c r="H271" s="627"/>
      <c r="I271" s="628"/>
      <c r="J271" s="53">
        <f>SUM(J273:J277)</f>
        <v>39704.653405000005</v>
      </c>
      <c r="K271" s="271"/>
    </row>
    <row r="272" spans="2:11" s="25" customFormat="1" ht="15" x14ac:dyDescent="0.25">
      <c r="B272" s="22">
        <v>15</v>
      </c>
      <c r="C272" s="591" t="s">
        <v>467</v>
      </c>
      <c r="D272" s="591"/>
      <c r="E272" s="591"/>
      <c r="F272" s="591"/>
      <c r="G272" s="591"/>
      <c r="H272" s="591"/>
      <c r="I272" s="591"/>
      <c r="J272" s="592"/>
      <c r="K272" s="271"/>
    </row>
    <row r="273" spans="1:12" s="25" customFormat="1" ht="15" x14ac:dyDescent="0.25">
      <c r="B273" s="306" t="s">
        <v>742</v>
      </c>
      <c r="C273" s="307" t="s">
        <v>462</v>
      </c>
      <c r="D273" s="307">
        <f>VLOOKUP(B273,'MEMÓRIA DE CÁLCULO'!B:H,2,)</f>
        <v>201302</v>
      </c>
      <c r="E273" s="302" t="str">
        <f>VLOOKUP(B273,'MEMÓRIA DE CÁLCULO'!B:H,3,)</f>
        <v>REVESTIMENTO COM CERAMICA</v>
      </c>
      <c r="F273" s="308" t="s">
        <v>24</v>
      </c>
      <c r="G273" s="308">
        <f>VLOOKUP(B273,'MEMÓRIA DE CÁLCULO'!B:H,7,)</f>
        <v>587.08000000000015</v>
      </c>
      <c r="H273" s="309">
        <v>26.65</v>
      </c>
      <c r="I273" s="309">
        <v>18.420000000000002</v>
      </c>
      <c r="J273" s="310">
        <f>(I273+H273)*G273</f>
        <v>26459.695600000006</v>
      </c>
      <c r="K273" s="271"/>
      <c r="L273" s="50">
        <f>J273/$J$271</f>
        <v>0.66641295996473648</v>
      </c>
    </row>
    <row r="274" spans="1:12" s="25" customFormat="1" ht="15" x14ac:dyDescent="0.25">
      <c r="B274" s="132" t="s">
        <v>743</v>
      </c>
      <c r="C274" s="114" t="s">
        <v>462</v>
      </c>
      <c r="D274" s="114">
        <f>VLOOKUP(B274,'MEMÓRIA DE CÁLCULO'!B:H,2,)</f>
        <v>200101</v>
      </c>
      <c r="E274" s="102" t="str">
        <f>VLOOKUP(B274,'MEMÓRIA DE CÁLCULO'!B:H,3,)</f>
        <v>CHAPISCO COMUM</v>
      </c>
      <c r="F274" s="118" t="s">
        <v>24</v>
      </c>
      <c r="G274" s="118">
        <f>VLOOKUP(B274,'MEMÓRIA DE CÁLCULO'!B:H,7,)</f>
        <v>391.69399999999996</v>
      </c>
      <c r="H274" s="119">
        <v>1.84</v>
      </c>
      <c r="I274" s="119">
        <v>2.4900000000000002</v>
      </c>
      <c r="J274" s="133">
        <f>(I274+H274)*G274</f>
        <v>1696.0350199999998</v>
      </c>
      <c r="K274" s="271"/>
      <c r="L274" s="50"/>
    </row>
    <row r="275" spans="1:12" s="25" customFormat="1" ht="15" x14ac:dyDescent="0.25">
      <c r="B275" s="132" t="s">
        <v>983</v>
      </c>
      <c r="C275" s="114" t="s">
        <v>462</v>
      </c>
      <c r="D275" s="114">
        <f>VLOOKUP(B275,'MEMÓRIA DE CÁLCULO'!B:H,2,)</f>
        <v>200201</v>
      </c>
      <c r="E275" s="102" t="str">
        <f>VLOOKUP(B275,'MEMÓRIA DE CÁLCULO'!B:H,3,)</f>
        <v>EMBOÇO (1CI:4 ARML)</v>
      </c>
      <c r="F275" s="118" t="s">
        <v>24</v>
      </c>
      <c r="G275" s="118">
        <f>VLOOKUP(B275,'MEMÓRIA DE CÁLCULO'!B:H,7,)</f>
        <v>391.69399999999996</v>
      </c>
      <c r="H275" s="119">
        <v>7.22</v>
      </c>
      <c r="I275" s="119">
        <v>9.9700000000000006</v>
      </c>
      <c r="J275" s="133">
        <f>(I275+H275)*G275</f>
        <v>6733.2198600000002</v>
      </c>
      <c r="K275" s="271"/>
      <c r="L275" s="50"/>
    </row>
    <row r="276" spans="1:12" s="43" customFormat="1" x14ac:dyDescent="0.25">
      <c r="B276" s="129" t="s">
        <v>984</v>
      </c>
      <c r="C276" s="99" t="s">
        <v>462</v>
      </c>
      <c r="D276" s="238">
        <f>VLOOKUP(B276,'MEMÓRIA DE CÁLCULO'!B:H,2,)</f>
        <v>200403</v>
      </c>
      <c r="E276" s="102" t="str">
        <f>VLOOKUP(B276,'MEMÓRIA DE CÁLCULO'!B:H,3,)</f>
        <v>REBOCO (1 CALH:4 ARFC+100kgCI/M3)</v>
      </c>
      <c r="F276" s="106" t="s">
        <v>24</v>
      </c>
      <c r="G276" s="106">
        <f>VLOOKUP(B276,'MEMÓRIA DE CÁLCULO'!B:H,7,)</f>
        <v>340.94499999999999</v>
      </c>
      <c r="H276" s="121">
        <v>1.92</v>
      </c>
      <c r="I276" s="121">
        <v>10.87</v>
      </c>
      <c r="J276" s="131">
        <f>(I276+H276)*G276</f>
        <v>4360.6865499999994</v>
      </c>
      <c r="K276" s="271"/>
    </row>
    <row r="277" spans="1:12" s="25" customFormat="1" ht="29.25" customHeight="1" x14ac:dyDescent="0.25">
      <c r="B277" s="129" t="s">
        <v>1179</v>
      </c>
      <c r="C277" s="99" t="s">
        <v>462</v>
      </c>
      <c r="D277" s="238">
        <f>VLOOKUP(B277,'MEMÓRIA DE CÁLCULO'!B:H,2,)</f>
        <v>201410</v>
      </c>
      <c r="E277" s="102" t="str">
        <f>VLOOKUP(B277,'MEMÓRIA DE CÁLCULO'!B:H,3,)</f>
        <v>MOLDURA TIPO "U" INVERTIDO EM ARGAMASSA COM 2CM DE ESPESSURA TIPO PINGADEIRA EM MURO/PLATIBANDA ( A PARTE VERTICAL DESCE 2,5CM)</v>
      </c>
      <c r="F277" s="106" t="s">
        <v>24</v>
      </c>
      <c r="G277" s="106">
        <f>VLOOKUP(B277,'MEMÓRIA DE CÁLCULO'!B:H,7,)</f>
        <v>9.3375000000000004</v>
      </c>
      <c r="H277" s="121">
        <v>15.14</v>
      </c>
      <c r="I277" s="121">
        <v>33.590000000000003</v>
      </c>
      <c r="J277" s="131">
        <f>(I277+H277)*G277</f>
        <v>455.01637500000004</v>
      </c>
      <c r="K277" s="271"/>
      <c r="L277" s="50"/>
    </row>
    <row r="278" spans="1:12" s="25" customFormat="1" ht="15" x14ac:dyDescent="0.25">
      <c r="B278" s="172"/>
      <c r="C278" s="173"/>
      <c r="D278" s="35"/>
      <c r="E278" s="174"/>
      <c r="F278" s="4"/>
      <c r="G278" s="4"/>
      <c r="H278" s="175"/>
      <c r="I278" s="175"/>
      <c r="J278" s="176"/>
      <c r="K278" s="271"/>
      <c r="L278" s="50"/>
    </row>
    <row r="279" spans="1:12" s="25" customFormat="1" ht="15" x14ac:dyDescent="0.25">
      <c r="B279" s="624" t="s">
        <v>51</v>
      </c>
      <c r="C279" s="625"/>
      <c r="D279" s="625"/>
      <c r="E279" s="625"/>
      <c r="F279" s="625"/>
      <c r="G279" s="625"/>
      <c r="H279" s="625"/>
      <c r="I279" s="625"/>
      <c r="J279" s="54">
        <f>SUM(J281:J283)</f>
        <v>28707.950349000002</v>
      </c>
      <c r="K279" s="271"/>
      <c r="L279" s="50"/>
    </row>
    <row r="280" spans="1:12" s="25" customFormat="1" ht="15" x14ac:dyDescent="0.25">
      <c r="B280" s="22">
        <v>16</v>
      </c>
      <c r="C280" s="614" t="s">
        <v>75</v>
      </c>
      <c r="D280" s="584"/>
      <c r="E280" s="584"/>
      <c r="F280" s="584"/>
      <c r="G280" s="584"/>
      <c r="H280" s="584"/>
      <c r="I280" s="584"/>
      <c r="J280" s="585"/>
      <c r="K280" s="271"/>
      <c r="L280" s="50"/>
    </row>
    <row r="281" spans="1:12" s="25" customFormat="1" ht="15" x14ac:dyDescent="0.25">
      <c r="B281" s="127" t="s">
        <v>76</v>
      </c>
      <c r="C281" s="238" t="s">
        <v>462</v>
      </c>
      <c r="D281" s="238">
        <f>VLOOKUP(B281,'MEMÓRIA DE CÁLCULO'!B:H,2,)</f>
        <v>210498</v>
      </c>
      <c r="E281" s="123" t="str">
        <f>VLOOKUP(B281,'MEMÓRIA DE CÁLCULO'!B:H,3,)</f>
        <v>FORRO DE GESSO ACARTONADO PARA ÁREAS SECAS ESPESSURA DE 12,5MM</v>
      </c>
      <c r="F281" s="106" t="s">
        <v>24</v>
      </c>
      <c r="G281" s="106">
        <f>VLOOKUP(B281,'MEMÓRIA DE CÁLCULO'!B:H,7,)</f>
        <v>324.91874999999999</v>
      </c>
      <c r="H281" s="120">
        <v>45.79</v>
      </c>
      <c r="I281" s="120">
        <v>9.2899999999999991</v>
      </c>
      <c r="J281" s="135">
        <f>(I281+H281)*G281</f>
        <v>17896.52475</v>
      </c>
      <c r="K281" s="271"/>
      <c r="L281" s="50"/>
    </row>
    <row r="282" spans="1:12" s="25" customFormat="1" ht="15" x14ac:dyDescent="0.25">
      <c r="B282" s="127" t="s">
        <v>108</v>
      </c>
      <c r="C282" s="238" t="s">
        <v>462</v>
      </c>
      <c r="D282" s="238">
        <f>VLOOKUP(B282,'MEMÓRIA DE CÁLCULO'!B:H,2,)</f>
        <v>210499</v>
      </c>
      <c r="E282" s="123" t="str">
        <f>VLOOKUP(B282,'MEMÓRIA DE CÁLCULO'!B:H,3,)</f>
        <v>FORRO DE GESSO ACARTONADO PARA ÁREAS MOLHADAS, ESPESSURA DE 12,5 MM</v>
      </c>
      <c r="F282" s="106" t="s">
        <v>24</v>
      </c>
      <c r="G282" s="106">
        <f>VLOOKUP(B282,'MEMÓRIA DE CÁLCULO'!B:H,7,)</f>
        <v>79.056700000000006</v>
      </c>
      <c r="H282" s="120">
        <v>53.68</v>
      </c>
      <c r="I282" s="120">
        <v>9.2899999999999991</v>
      </c>
      <c r="J282" s="135">
        <f t="shared" ref="J282:J283" si="17">(I282+H282)*G282</f>
        <v>4978.2003990000003</v>
      </c>
      <c r="K282" s="271"/>
      <c r="L282" s="50"/>
    </row>
    <row r="283" spans="1:12" s="25" customFormat="1" ht="15" x14ac:dyDescent="0.25">
      <c r="B283" s="127" t="s">
        <v>208</v>
      </c>
      <c r="C283" s="238" t="s">
        <v>462</v>
      </c>
      <c r="D283" s="238">
        <f>VLOOKUP(B283,'MEMÓRIA DE CÁLCULO'!B:H,2,)</f>
        <v>210505</v>
      </c>
      <c r="E283" s="123" t="str">
        <f>VLOOKUP(B283,'MEMÓRIA DE CÁLCULO'!B:H,3,)</f>
        <v>MOLDURA PARA FORRO DE GESSO COMUM 5 CM</v>
      </c>
      <c r="F283" s="106" t="s">
        <v>29</v>
      </c>
      <c r="G283" s="106">
        <f>VLOOKUP(B283,'MEMÓRIA DE CÁLCULO'!B:H,7,)</f>
        <v>406.78000000000003</v>
      </c>
      <c r="H283" s="120">
        <v>14.34</v>
      </c>
      <c r="I283" s="120">
        <v>0</v>
      </c>
      <c r="J283" s="135">
        <f t="shared" si="17"/>
        <v>5833.2252000000008</v>
      </c>
      <c r="K283" s="271"/>
      <c r="L283" s="50"/>
    </row>
    <row r="284" spans="1:12" s="25" customFormat="1" ht="15" x14ac:dyDescent="0.25">
      <c r="B284" s="145"/>
      <c r="C284" s="146"/>
      <c r="D284" s="124"/>
      <c r="E284" s="147"/>
      <c r="F284" s="148"/>
      <c r="G284" s="148"/>
      <c r="H284" s="149"/>
      <c r="I284" s="149"/>
      <c r="J284" s="150"/>
      <c r="K284" s="271"/>
      <c r="L284" s="50"/>
    </row>
    <row r="285" spans="1:12" s="24" customFormat="1" ht="15" x14ac:dyDescent="0.25">
      <c r="B285" s="626" t="s">
        <v>735</v>
      </c>
      <c r="C285" s="627"/>
      <c r="D285" s="627"/>
      <c r="E285" s="627"/>
      <c r="F285" s="627"/>
      <c r="G285" s="627"/>
      <c r="H285" s="627"/>
      <c r="I285" s="628"/>
      <c r="J285" s="53">
        <f>SUM(J287:J296)</f>
        <v>118004.66063000001</v>
      </c>
      <c r="K285" s="271"/>
    </row>
    <row r="286" spans="1:12" s="25" customFormat="1" ht="15" x14ac:dyDescent="0.25">
      <c r="B286" s="22">
        <v>17</v>
      </c>
      <c r="C286" s="591" t="s">
        <v>734</v>
      </c>
      <c r="D286" s="591"/>
      <c r="E286" s="591"/>
      <c r="F286" s="591"/>
      <c r="G286" s="591"/>
      <c r="H286" s="591"/>
      <c r="I286" s="591"/>
      <c r="J286" s="592"/>
      <c r="K286" s="271"/>
    </row>
    <row r="287" spans="1:12" s="21" customFormat="1" ht="15" x14ac:dyDescent="0.25">
      <c r="A287" s="43"/>
      <c r="B287" s="306" t="s">
        <v>114</v>
      </c>
      <c r="C287" s="307" t="s">
        <v>462</v>
      </c>
      <c r="D287" s="307">
        <f>VLOOKUP(B287,'MEMÓRIA DE CÁLCULO'!B:H,2,)</f>
        <v>220104</v>
      </c>
      <c r="E287" s="302" t="str">
        <f>VLOOKUP(B287,'MEMÓRIA DE CÁLCULO'!B:H,3,)</f>
        <v>PISO EM CONCRETO DESEMPENADO ESPESSURA = 7 CM 1:2,5:3,5</v>
      </c>
      <c r="F287" s="308" t="s">
        <v>24</v>
      </c>
      <c r="G287" s="308">
        <f>VLOOKUP(B287,'MEMÓRIA DE CÁLCULO'!B:H,7,)</f>
        <v>150.36000000000001</v>
      </c>
      <c r="H287" s="309">
        <v>22.17</v>
      </c>
      <c r="I287" s="309">
        <v>13.7</v>
      </c>
      <c r="J287" s="310">
        <f t="shared" ref="J287:J295" si="18">(I287+H287)*G287</f>
        <v>5393.4132000000009</v>
      </c>
      <c r="K287" s="271"/>
      <c r="L287" s="50"/>
    </row>
    <row r="288" spans="1:12" s="21" customFormat="1" ht="15" x14ac:dyDescent="0.25">
      <c r="A288" s="43"/>
      <c r="B288" s="132" t="s">
        <v>115</v>
      </c>
      <c r="C288" s="114" t="s">
        <v>462</v>
      </c>
      <c r="D288" s="114">
        <f>VLOOKUP(B288,'MEMÓRIA DE CÁLCULO'!B:H,2,)</f>
        <v>220102</v>
      </c>
      <c r="E288" s="102" t="str">
        <f>VLOOKUP(B288,'MEMÓRIA DE CÁLCULO'!B:H,3,)</f>
        <v>PISO CONCRETO DESEMPENADO ESPESSURA = 5 CM 1:2,5:3,5</v>
      </c>
      <c r="F288" s="118" t="s">
        <v>24</v>
      </c>
      <c r="G288" s="118">
        <f>VLOOKUP(B288,'MEMÓRIA DE CÁLCULO'!B:H,7,)</f>
        <v>300.13349999999997</v>
      </c>
      <c r="H288" s="119">
        <v>16.89</v>
      </c>
      <c r="I288" s="119">
        <v>9.2100000000000009</v>
      </c>
      <c r="J288" s="133">
        <f t="shared" si="18"/>
        <v>7833.4843499999997</v>
      </c>
      <c r="K288" s="271"/>
      <c r="L288" s="50"/>
    </row>
    <row r="289" spans="1:12" s="21" customFormat="1" ht="28.5" x14ac:dyDescent="0.25">
      <c r="A289" s="43"/>
      <c r="B289" s="132" t="s">
        <v>985</v>
      </c>
      <c r="C289" s="114" t="s">
        <v>462</v>
      </c>
      <c r="D289" s="114">
        <f>VLOOKUP(B289,'MEMÓRIA DE CÁLCULO'!B:H,2,)</f>
        <v>220309</v>
      </c>
      <c r="E289" s="102" t="str">
        <f>VLOOKUP(B289,'MEMÓRIA DE CÁLCULO'!B:H,3,)</f>
        <v>PISO EM CERÂMICA PEI MAIOR OU IGUAL A 4 COM CONTRA PISO (1CI:3ARML) E ARGAMASSA COLANTE</v>
      </c>
      <c r="F289" s="118" t="s">
        <v>24</v>
      </c>
      <c r="G289" s="118">
        <f>VLOOKUP(B289,'MEMÓRIA DE CÁLCULO'!B:H,7,)</f>
        <v>558.58425</v>
      </c>
      <c r="H289" s="119">
        <v>36.07</v>
      </c>
      <c r="I289" s="119">
        <v>20.21</v>
      </c>
      <c r="J289" s="133">
        <f t="shared" si="18"/>
        <v>31437.121589999999</v>
      </c>
      <c r="K289" s="271"/>
      <c r="L289" s="50"/>
    </row>
    <row r="290" spans="1:12" s="21" customFormat="1" ht="28.5" x14ac:dyDescent="0.25">
      <c r="A290" s="43"/>
      <c r="B290" s="132" t="s">
        <v>986</v>
      </c>
      <c r="C290" s="114" t="s">
        <v>462</v>
      </c>
      <c r="D290" s="114">
        <f>VLOOKUP(B290,'MEMÓRIA DE CÁLCULO'!B:H,2,)</f>
        <v>220311</v>
      </c>
      <c r="E290" s="102" t="str">
        <f>VLOOKUP(B290,'MEMÓRIA DE CÁLCULO'!B:H,3,)</f>
        <v>CERÂMICA ANTIDERRAPANTE PEI MAIOR OU IGUAL A 4 COM CONTRA PISO (1CI:3ARML) E ARGAMASSA COLANTE</v>
      </c>
      <c r="F290" s="118" t="s">
        <v>24</v>
      </c>
      <c r="G290" s="118">
        <f>VLOOKUP(B290,'MEMÓRIA DE CÁLCULO'!B:H,7,)</f>
        <v>277.66680000000002</v>
      </c>
      <c r="H290" s="119">
        <v>36.380000000000003</v>
      </c>
      <c r="I290" s="119">
        <v>20.21</v>
      </c>
      <c r="J290" s="133">
        <f t="shared" si="18"/>
        <v>15713.164212000001</v>
      </c>
      <c r="K290" s="271"/>
      <c r="L290" s="50"/>
    </row>
    <row r="291" spans="1:12" s="21" customFormat="1" ht="15" x14ac:dyDescent="0.25">
      <c r="A291" s="43"/>
      <c r="B291" s="132" t="s">
        <v>987</v>
      </c>
      <c r="C291" s="114" t="s">
        <v>462</v>
      </c>
      <c r="D291" s="114">
        <f>VLOOKUP(B291,'MEMÓRIA DE CÁLCULO'!B:H,2,)</f>
        <v>221101</v>
      </c>
      <c r="E291" s="102" t="str">
        <f>VLOOKUP(B291,'MEMÓRIA DE CÁLCULO'!B:H,3,)</f>
        <v>GRANITINA 8 MM FUNDIDA COM CONTRAPISO (1Cl:3ARML) E = 2 CM E JUNTA PLASTICA 27 MM</v>
      </c>
      <c r="F291" s="118" t="s">
        <v>24</v>
      </c>
      <c r="G291" s="118">
        <f>VLOOKUP(B291,'MEMÓRIA DE CÁLCULO'!B:H,7,)</f>
        <v>580.24760000000003</v>
      </c>
      <c r="H291" s="119">
        <v>57.29</v>
      </c>
      <c r="I291" s="119">
        <v>13.17</v>
      </c>
      <c r="J291" s="133">
        <f t="shared" si="18"/>
        <v>40884.245896</v>
      </c>
      <c r="K291" s="271"/>
      <c r="L291" s="50"/>
    </row>
    <row r="292" spans="1:12" s="43" customFormat="1" ht="15" x14ac:dyDescent="0.25">
      <c r="B292" s="132" t="s">
        <v>988</v>
      </c>
      <c r="C292" s="114" t="s">
        <v>462</v>
      </c>
      <c r="D292" s="114">
        <f>VLOOKUP(B292,'MEMÓRIA DE CÁLCULO'!B:H,2,)</f>
        <v>220920</v>
      </c>
      <c r="E292" s="102" t="str">
        <f>VLOOKUP(B292,'MEMÓRIA DE CÁLCULO'!B:H,3,)</f>
        <v>SOLEIRA EM GRANITO IMPERMEABILIZADA COM CONTRAPISO (1CI:3ARML)</v>
      </c>
      <c r="F292" s="118" t="s">
        <v>24</v>
      </c>
      <c r="G292" s="118">
        <f>VLOOKUP(B292,'MEMÓRIA DE CÁLCULO'!B:H,7,)</f>
        <v>23.307199999999998</v>
      </c>
      <c r="H292" s="119">
        <v>408.32</v>
      </c>
      <c r="I292" s="119">
        <v>19.739999999999998</v>
      </c>
      <c r="J292" s="133">
        <f t="shared" si="18"/>
        <v>9976.8800319999991</v>
      </c>
      <c r="K292" s="271"/>
      <c r="L292" s="50"/>
    </row>
    <row r="293" spans="1:12" s="43" customFormat="1" ht="15" x14ac:dyDescent="0.25">
      <c r="B293" s="132" t="s">
        <v>989</v>
      </c>
      <c r="C293" s="114" t="s">
        <v>462</v>
      </c>
      <c r="D293" s="114">
        <f>VLOOKUP(B293,'MEMÓRIA DE CÁLCULO'!B:H,2,)</f>
        <v>220310</v>
      </c>
      <c r="E293" s="102" t="str">
        <f>VLOOKUP(B293,'MEMÓRIA DE CÁLCULO'!B:H,3,)</f>
        <v>RODAPÉ DE CERÂMICA COM ARGAMASSA COLANTE</v>
      </c>
      <c r="F293" s="118" t="s">
        <v>29</v>
      </c>
      <c r="G293" s="118">
        <f>VLOOKUP(B293,'MEMÓRIA DE CÁLCULO'!B:H,7,)</f>
        <v>324.12000000000006</v>
      </c>
      <c r="H293" s="119">
        <v>1.78</v>
      </c>
      <c r="I293" s="119">
        <v>4.8099999999999996</v>
      </c>
      <c r="J293" s="133">
        <f t="shared" si="18"/>
        <v>2135.9508000000005</v>
      </c>
      <c r="K293" s="271"/>
      <c r="L293" s="50"/>
    </row>
    <row r="294" spans="1:12" s="43" customFormat="1" ht="15" x14ac:dyDescent="0.25">
      <c r="B294" s="132" t="s">
        <v>990</v>
      </c>
      <c r="C294" s="114" t="s">
        <v>462</v>
      </c>
      <c r="D294" s="114">
        <f>VLOOKUP(B294,'MEMÓRIA DE CÁLCULO'!B:H,2,)</f>
        <v>220312</v>
      </c>
      <c r="E294" s="102" t="str">
        <f>VLOOKUP(B294,'MEMÓRIA DE CÁLCULO'!B:H,3,)</f>
        <v>RODAPÉ DE CERÂMICA ANTIDERRAPANTE COM ARGAMASSA COLANTE</v>
      </c>
      <c r="F294" s="118" t="s">
        <v>29</v>
      </c>
      <c r="G294" s="118">
        <f>VLOOKUP(B294,'MEMÓRIA DE CÁLCULO'!B:H,7,)</f>
        <v>211.245</v>
      </c>
      <c r="H294" s="119">
        <v>1.8</v>
      </c>
      <c r="I294" s="119">
        <v>4.8099999999999996</v>
      </c>
      <c r="J294" s="133">
        <f t="shared" si="18"/>
        <v>1396.32945</v>
      </c>
      <c r="K294" s="271"/>
      <c r="L294" s="50"/>
    </row>
    <row r="295" spans="1:12" s="43" customFormat="1" ht="15" x14ac:dyDescent="0.25">
      <c r="B295" s="132" t="s">
        <v>991</v>
      </c>
      <c r="C295" s="114" t="s">
        <v>462</v>
      </c>
      <c r="D295" s="114">
        <f>VLOOKUP(B295,'MEMÓRIA DE CÁLCULO'!B:H,2,)</f>
        <v>221102</v>
      </c>
      <c r="E295" s="102" t="str">
        <f>VLOOKUP(B295,'MEMÓRIA DE CÁLCULO'!B:H,3,)</f>
        <v>RODAPÉ FUNDIDO DE GRANITINA 7CM</v>
      </c>
      <c r="F295" s="118" t="s">
        <v>29</v>
      </c>
      <c r="G295" s="118">
        <f>VLOOKUP(B295,'MEMÓRIA DE CÁLCULO'!B:H,7,)</f>
        <v>201.03999999999996</v>
      </c>
      <c r="H295" s="119">
        <v>12</v>
      </c>
      <c r="I295" s="119">
        <v>0</v>
      </c>
      <c r="J295" s="133">
        <f t="shared" si="18"/>
        <v>2412.4799999999996</v>
      </c>
      <c r="K295" s="271"/>
      <c r="L295" s="50"/>
    </row>
    <row r="296" spans="1:12" s="21" customFormat="1" ht="28.5" x14ac:dyDescent="0.25">
      <c r="A296" s="43"/>
      <c r="B296" s="132" t="s">
        <v>1070</v>
      </c>
      <c r="C296" s="114" t="s">
        <v>462</v>
      </c>
      <c r="D296" s="114">
        <f>VLOOKUP(B296,'MEMÓRIA DE CÁLCULO'!B:H,2,)</f>
        <v>221126</v>
      </c>
      <c r="E296" s="102" t="str">
        <f>VLOOKUP(B296,'MEMÓRIA DE CÁLCULO'!B:H,3,)</f>
        <v>PISO DE LADRILHO HIDRÁULICO COLORIDO MODELO TÁTIL ( ALERTA OU DIRECIONAL) SEM LASTRO</v>
      </c>
      <c r="F296" s="118" t="s">
        <v>24</v>
      </c>
      <c r="G296" s="118">
        <f>VLOOKUP(B296,'MEMÓRIA DE CÁLCULO'!B:H,7,)</f>
        <v>8.91</v>
      </c>
      <c r="H296" s="119">
        <v>74.260000000000005</v>
      </c>
      <c r="I296" s="119">
        <v>17.95</v>
      </c>
      <c r="J296" s="133">
        <f t="shared" ref="J296" si="19">(I296+H296)*G296</f>
        <v>821.5911000000001</v>
      </c>
      <c r="K296" s="271"/>
    </row>
    <row r="297" spans="1:12" s="43" customFormat="1" x14ac:dyDescent="0.25">
      <c r="B297" s="204"/>
      <c r="C297" s="146"/>
      <c r="D297" s="146"/>
      <c r="E297" s="146"/>
      <c r="F297" s="146"/>
      <c r="G297" s="146"/>
      <c r="H297" s="146"/>
      <c r="I297" s="146"/>
      <c r="J297" s="223"/>
      <c r="K297" s="271"/>
    </row>
    <row r="298" spans="1:12" s="21" customFormat="1" ht="15" x14ac:dyDescent="0.25">
      <c r="A298" s="43"/>
      <c r="B298" s="624" t="s">
        <v>52</v>
      </c>
      <c r="C298" s="625"/>
      <c r="D298" s="625"/>
      <c r="E298" s="625"/>
      <c r="F298" s="625"/>
      <c r="G298" s="625"/>
      <c r="H298" s="625"/>
      <c r="I298" s="625"/>
      <c r="J298" s="54">
        <f>SUM(J300:J303)</f>
        <v>6123.24</v>
      </c>
      <c r="K298" s="271"/>
    </row>
    <row r="299" spans="1:12" s="43" customFormat="1" ht="15" x14ac:dyDescent="0.25">
      <c r="B299" s="22">
        <v>18</v>
      </c>
      <c r="C299" s="614" t="s">
        <v>87</v>
      </c>
      <c r="D299" s="584"/>
      <c r="E299" s="584"/>
      <c r="F299" s="584"/>
      <c r="G299" s="584"/>
      <c r="H299" s="584"/>
      <c r="I299" s="584"/>
      <c r="J299" s="585"/>
      <c r="K299" s="271"/>
    </row>
    <row r="300" spans="1:12" s="43" customFormat="1" x14ac:dyDescent="0.25">
      <c r="B300" s="367" t="s">
        <v>86</v>
      </c>
      <c r="C300" s="301" t="s">
        <v>462</v>
      </c>
      <c r="D300" s="301">
        <f>VLOOKUP(B300,'MEMÓRIA DE CÁLCULO'!B:H,2,)</f>
        <v>230101</v>
      </c>
      <c r="E300" s="370" t="str">
        <f>VLOOKUP(B300,'MEMÓRIA DE CÁLCULO'!B:H,3,)</f>
        <v>FECH.(ALAV.) LAFONTE 6236 E/8766- E17 IMAB OU EQUIV</v>
      </c>
      <c r="F300" s="303" t="s">
        <v>340</v>
      </c>
      <c r="G300" s="303">
        <f>VLOOKUP(B300,'MEMÓRIA DE CÁLCULO'!B:H,7,)</f>
        <v>26</v>
      </c>
      <c r="H300" s="371">
        <v>115.51</v>
      </c>
      <c r="I300" s="371">
        <v>15.97</v>
      </c>
      <c r="J300" s="372">
        <f>(I300+H300)*G300</f>
        <v>3418.4800000000005</v>
      </c>
      <c r="K300" s="271"/>
    </row>
    <row r="301" spans="1:12" s="43" customFormat="1" x14ac:dyDescent="0.25">
      <c r="B301" s="237" t="s">
        <v>90</v>
      </c>
      <c r="C301" s="238" t="s">
        <v>462</v>
      </c>
      <c r="D301" s="238">
        <f>VLOOKUP(B301,'MEMÓRIA DE CÁLCULO'!B:H,2,)</f>
        <v>230201</v>
      </c>
      <c r="E301" s="123" t="str">
        <f>VLOOKUP(B301,'MEMÓRIA DE CÁLCULO'!B:H,3,)</f>
        <v>DOBRADICA 3" x 3 1/2" FERRO POLIDO</v>
      </c>
      <c r="F301" s="106" t="s">
        <v>340</v>
      </c>
      <c r="G301" s="106">
        <f>VLOOKUP(B301,'MEMÓRIA DE CÁLCULO'!B:H,7,)</f>
        <v>78</v>
      </c>
      <c r="H301" s="120">
        <v>18.899999999999999</v>
      </c>
      <c r="I301" s="120">
        <v>6.4</v>
      </c>
      <c r="J301" s="136">
        <f>(I301+H301)*G301</f>
        <v>1973.3999999999999</v>
      </c>
      <c r="K301" s="271"/>
    </row>
    <row r="302" spans="1:12" s="43" customFormat="1" x14ac:dyDescent="0.25">
      <c r="B302" s="237" t="s">
        <v>1237</v>
      </c>
      <c r="C302" s="238" t="s">
        <v>462</v>
      </c>
      <c r="D302" s="238">
        <f>VLOOKUP(B302,'MEMÓRIA DE CÁLCULO'!B:H,2,)</f>
        <v>230176</v>
      </c>
      <c r="E302" s="123" t="str">
        <f>VLOOKUP(B302,'MEMÓRIA DE CÁLCULO'!B:H,3,)</f>
        <v>BARRA DE APOIO EM AÇO INOX - 80 CM</v>
      </c>
      <c r="F302" s="106" t="s">
        <v>340</v>
      </c>
      <c r="G302" s="106">
        <f>VLOOKUP(B302,'MEMÓRIA DE CÁLCULO'!B:H,7,)</f>
        <v>4</v>
      </c>
      <c r="H302" s="120">
        <v>173.88</v>
      </c>
      <c r="I302" s="120">
        <v>8.9600000000000009</v>
      </c>
      <c r="J302" s="136">
        <f>(I302+H302)*G302</f>
        <v>731.36</v>
      </c>
      <c r="K302" s="271"/>
    </row>
    <row r="303" spans="1:12" s="21" customFormat="1" x14ac:dyDescent="0.25">
      <c r="A303" s="43"/>
      <c r="B303" s="315"/>
      <c r="C303" s="316"/>
      <c r="D303" s="316"/>
      <c r="E303" s="316"/>
      <c r="F303" s="316"/>
      <c r="G303" s="316"/>
      <c r="H303" s="316"/>
      <c r="I303" s="316"/>
      <c r="J303" s="317"/>
      <c r="K303" s="271"/>
    </row>
    <row r="304" spans="1:12" s="21" customFormat="1" ht="15" x14ac:dyDescent="0.25">
      <c r="A304" s="43"/>
      <c r="B304" s="626" t="s">
        <v>53</v>
      </c>
      <c r="C304" s="627"/>
      <c r="D304" s="627"/>
      <c r="E304" s="627"/>
      <c r="F304" s="627"/>
      <c r="G304" s="627"/>
      <c r="H304" s="627"/>
      <c r="I304" s="627"/>
      <c r="J304" s="54">
        <f>SUM(J306:J307)</f>
        <v>54259.200000000004</v>
      </c>
      <c r="K304" s="271"/>
      <c r="L304" s="49"/>
    </row>
    <row r="305" spans="1:11" s="21" customFormat="1" ht="15" x14ac:dyDescent="0.25">
      <c r="A305" s="43"/>
      <c r="B305" s="22">
        <v>19</v>
      </c>
      <c r="C305" s="614" t="s">
        <v>85</v>
      </c>
      <c r="D305" s="584"/>
      <c r="E305" s="584"/>
      <c r="F305" s="584"/>
      <c r="G305" s="584"/>
      <c r="H305" s="584"/>
      <c r="I305" s="584"/>
      <c r="J305" s="585"/>
      <c r="K305" s="271"/>
    </row>
    <row r="306" spans="1:11" s="21" customFormat="1" x14ac:dyDescent="0.25">
      <c r="A306" s="43"/>
      <c r="B306" s="367" t="s">
        <v>89</v>
      </c>
      <c r="C306" s="301" t="s">
        <v>462</v>
      </c>
      <c r="D306" s="301">
        <f>VLOOKUP(B306,'MEMÓRIA DE CÁLCULO'!B:H,2,)</f>
        <v>250101</v>
      </c>
      <c r="E306" s="370" t="str">
        <f>VLOOKUP(B306,'MEMÓRIA DE CÁLCULO'!B:H,3,)</f>
        <v>ENGENHEIRO - OBRAS CIVIS</v>
      </c>
      <c r="F306" s="355" t="s">
        <v>470</v>
      </c>
      <c r="G306" s="303">
        <f>VLOOKUP(B306,'MEMÓRIA DE CÁLCULO'!B:H,7,)</f>
        <v>480</v>
      </c>
      <c r="H306" s="371">
        <v>0</v>
      </c>
      <c r="I306" s="371">
        <v>64.48</v>
      </c>
      <c r="J306" s="373">
        <f>(H306+I306)*G306</f>
        <v>30950.400000000001</v>
      </c>
      <c r="K306" s="271"/>
    </row>
    <row r="307" spans="1:11" s="21" customFormat="1" x14ac:dyDescent="0.25">
      <c r="A307" s="43"/>
      <c r="B307" s="237" t="s">
        <v>91</v>
      </c>
      <c r="C307" s="238" t="s">
        <v>462</v>
      </c>
      <c r="D307" s="238">
        <f>VLOOKUP(B307,'MEMÓRIA DE CÁLCULO'!B:H,2,)</f>
        <v>250103</v>
      </c>
      <c r="E307" s="123" t="str">
        <f>VLOOKUP(B307,'MEMÓRIA DE CÁLCULO'!B:H,3,)</f>
        <v>ENCARREGADO - (OBRAS CIVIS)</v>
      </c>
      <c r="F307" s="105" t="s">
        <v>470</v>
      </c>
      <c r="G307" s="106">
        <f>VLOOKUP(B307,'MEMÓRIA DE CÁLCULO'!B:H,7,)</f>
        <v>1280</v>
      </c>
      <c r="H307" s="120">
        <v>0</v>
      </c>
      <c r="I307" s="120">
        <v>18.21</v>
      </c>
      <c r="J307" s="134">
        <f>(H307+I307)*G307</f>
        <v>23308.800000000003</v>
      </c>
      <c r="K307" s="271"/>
    </row>
    <row r="308" spans="1:11" s="21" customFormat="1" x14ac:dyDescent="0.25">
      <c r="A308" s="43"/>
      <c r="B308" s="608"/>
      <c r="C308" s="609"/>
      <c r="D308" s="609"/>
      <c r="E308" s="609"/>
      <c r="F308" s="609"/>
      <c r="G308" s="609"/>
      <c r="H308" s="609"/>
      <c r="I308" s="609"/>
      <c r="J308" s="610"/>
      <c r="K308" s="271"/>
    </row>
    <row r="309" spans="1:11" s="21" customFormat="1" ht="15" x14ac:dyDescent="0.25">
      <c r="A309" s="43"/>
      <c r="B309" s="626" t="s">
        <v>54</v>
      </c>
      <c r="C309" s="627"/>
      <c r="D309" s="627"/>
      <c r="E309" s="627"/>
      <c r="F309" s="627"/>
      <c r="G309" s="627"/>
      <c r="H309" s="627"/>
      <c r="I309" s="627"/>
      <c r="J309" s="54">
        <f>SUM(J311:J322)</f>
        <v>77026.398317999992</v>
      </c>
      <c r="K309" s="271"/>
    </row>
    <row r="310" spans="1:11" s="43" customFormat="1" ht="15" x14ac:dyDescent="0.25">
      <c r="B310" s="22">
        <v>20</v>
      </c>
      <c r="C310" s="614" t="s">
        <v>112</v>
      </c>
      <c r="D310" s="584"/>
      <c r="E310" s="584"/>
      <c r="F310" s="584"/>
      <c r="G310" s="584"/>
      <c r="H310" s="584"/>
      <c r="I310" s="584"/>
      <c r="J310" s="585"/>
      <c r="K310" s="271"/>
    </row>
    <row r="311" spans="1:11" s="21" customFormat="1" x14ac:dyDescent="0.25">
      <c r="A311" s="43"/>
      <c r="B311" s="367" t="s">
        <v>109</v>
      </c>
      <c r="C311" s="301" t="s">
        <v>462</v>
      </c>
      <c r="D311" s="301">
        <f>VLOOKUP(B311,'MEMÓRIA DE CÁLCULO'!B:H,2,)</f>
        <v>261300</v>
      </c>
      <c r="E311" s="370" t="str">
        <f>VLOOKUP(B311,'MEMÓRIA DE CÁLCULO'!B:H,3,)</f>
        <v>EMASSAMENTO COM MASSA PVA DUAS DEMAOS</v>
      </c>
      <c r="F311" s="303" t="s">
        <v>24</v>
      </c>
      <c r="G311" s="303">
        <f>VLOOKUP(B311,'MEMÓRIA DE CÁLCULO'!B:H,7,)</f>
        <v>624.88969999999995</v>
      </c>
      <c r="H311" s="371">
        <v>1.68</v>
      </c>
      <c r="I311" s="371">
        <v>6.72</v>
      </c>
      <c r="J311" s="373">
        <f t="shared" ref="J311:J319" si="20">(I311+H311)*G311</f>
        <v>5249.07348</v>
      </c>
      <c r="K311" s="271"/>
    </row>
    <row r="312" spans="1:11" s="21" customFormat="1" x14ac:dyDescent="0.25">
      <c r="A312" s="43"/>
      <c r="B312" s="237" t="s">
        <v>992</v>
      </c>
      <c r="C312" s="238" t="s">
        <v>462</v>
      </c>
      <c r="D312" s="238">
        <f>VLOOKUP(B312,'MEMÓRIA DE CÁLCULO'!B:H,2,)</f>
        <v>260104</v>
      </c>
      <c r="E312" s="123" t="str">
        <f>VLOOKUP(B312,'MEMÓRIA DE CÁLCULO'!B:H,3,)</f>
        <v>REMOCAO DE PINTURA ANTIGA A LATEX</v>
      </c>
      <c r="F312" s="106" t="s">
        <v>24</v>
      </c>
      <c r="G312" s="106">
        <f>VLOOKUP(B312,'MEMÓRIA DE CÁLCULO'!B:H,7,)</f>
        <v>3197.5364</v>
      </c>
      <c r="H312" s="120">
        <v>0</v>
      </c>
      <c r="I312" s="120">
        <v>3.86</v>
      </c>
      <c r="J312" s="134">
        <f t="shared" si="20"/>
        <v>12342.490503999999</v>
      </c>
      <c r="K312" s="271"/>
    </row>
    <row r="313" spans="1:11" s="43" customFormat="1" x14ac:dyDescent="0.25">
      <c r="B313" s="237" t="s">
        <v>110</v>
      </c>
      <c r="C313" s="238" t="s">
        <v>462</v>
      </c>
      <c r="D313" s="238">
        <f>VLOOKUP(B313,'MEMÓRIA DE CÁLCULO'!B:H,2,)</f>
        <v>261550</v>
      </c>
      <c r="E313" s="123" t="str">
        <f>VLOOKUP(B313,'MEMÓRIA DE CÁLCULO'!B:H,3,)</f>
        <v>PINT.ESMALTE SINT.PAREDES - 2 DEM.C/SELADOR</v>
      </c>
      <c r="F313" s="106" t="s">
        <v>24</v>
      </c>
      <c r="G313" s="106">
        <f>VLOOKUP(B313,'MEMÓRIA DE CÁLCULO'!B:H,7,)</f>
        <v>812.45699999999988</v>
      </c>
      <c r="H313" s="120">
        <v>5.36</v>
      </c>
      <c r="I313" s="120">
        <v>6.32</v>
      </c>
      <c r="J313" s="134">
        <f t="shared" si="20"/>
        <v>9489.4977599999984</v>
      </c>
      <c r="K313" s="271"/>
    </row>
    <row r="314" spans="1:11" s="43" customFormat="1" x14ac:dyDescent="0.25">
      <c r="B314" s="237" t="s">
        <v>111</v>
      </c>
      <c r="C314" s="238" t="s">
        <v>462</v>
      </c>
      <c r="D314" s="238">
        <f>VLOOKUP(B314,'MEMÓRIA DE CÁLCULO'!B:H,2,)</f>
        <v>261001</v>
      </c>
      <c r="E314" s="123" t="str">
        <f>VLOOKUP(B314,'MEMÓRIA DE CÁLCULO'!B:H,3,)</f>
        <v>PINTURA LATEX ACRILICO 2 DEMAOS</v>
      </c>
      <c r="F314" s="106" t="s">
        <v>24</v>
      </c>
      <c r="G314" s="106">
        <f>VLOOKUP(B314,'MEMÓRIA DE CÁLCULO'!B:H,7,)</f>
        <v>2766.6628000000001</v>
      </c>
      <c r="H314" s="120">
        <v>4.55</v>
      </c>
      <c r="I314" s="120">
        <v>5.58</v>
      </c>
      <c r="J314" s="134">
        <f t="shared" si="20"/>
        <v>28026.294163999999</v>
      </c>
      <c r="K314" s="271"/>
    </row>
    <row r="315" spans="1:11" s="21" customFormat="1" x14ac:dyDescent="0.25">
      <c r="A315" s="43"/>
      <c r="B315" s="237" t="s">
        <v>993</v>
      </c>
      <c r="C315" s="238" t="s">
        <v>462</v>
      </c>
      <c r="D315" s="238">
        <f>VLOOKUP(B315,'MEMÓRIA DE CÁLCULO'!B:H,2,)</f>
        <v>261304</v>
      </c>
      <c r="E315" s="123" t="str">
        <f>VLOOKUP(B315,'MEMÓRIA DE CÁLCULO'!B:H,3,)</f>
        <v>EMASSAMENTO ACRILICO 2 DEMAOS</v>
      </c>
      <c r="F315" s="106" t="s">
        <v>24</v>
      </c>
      <c r="G315" s="106">
        <f>VLOOKUP(B315,'MEMÓRIA DE CÁLCULO'!B:H,7,)</f>
        <v>900.16050000000018</v>
      </c>
      <c r="H315" s="120">
        <v>4.9400000000000004</v>
      </c>
      <c r="I315" s="120">
        <v>8</v>
      </c>
      <c r="J315" s="134">
        <f t="shared" si="20"/>
        <v>11648.076870000004</v>
      </c>
      <c r="K315" s="271"/>
    </row>
    <row r="316" spans="1:11" s="21" customFormat="1" ht="28.5" x14ac:dyDescent="0.25">
      <c r="A316" s="43"/>
      <c r="B316" s="237" t="s">
        <v>994</v>
      </c>
      <c r="C316" s="238" t="s">
        <v>30</v>
      </c>
      <c r="D316" s="238" t="str">
        <f>VLOOKUP(B316,'MEMÓRIA DE CÁLCULO'!B:H,2,)</f>
        <v>SINAPI 102496</v>
      </c>
      <c r="E316" s="123" t="str">
        <f>VLOOKUP(B316,'MEMÓRIA DE CÁLCULO'!B:H,3,)</f>
        <v>PINTURA DE RODAPÉ COM TINTA EPÓXI, APLICAÇÃO MANUAL, 2 DEMÃOS, INCLUSÃO PRIMER EPÓXI</v>
      </c>
      <c r="F316" s="106" t="s">
        <v>24</v>
      </c>
      <c r="G316" s="106">
        <f>VLOOKUP(B316,'MEMÓRIA DE CÁLCULO'!B:H,7,)</f>
        <v>16.450000000000003</v>
      </c>
      <c r="H316" s="120">
        <v>5.4</v>
      </c>
      <c r="I316" s="120">
        <v>2.42</v>
      </c>
      <c r="J316" s="134">
        <f t="shared" si="20"/>
        <v>128.63900000000004</v>
      </c>
      <c r="K316" s="271"/>
    </row>
    <row r="317" spans="1:11" s="43" customFormat="1" x14ac:dyDescent="0.25">
      <c r="B317" s="237" t="s">
        <v>995</v>
      </c>
      <c r="C317" s="238" t="s">
        <v>30</v>
      </c>
      <c r="D317" s="238" t="str">
        <f>VLOOKUP(B317,'MEMÓRIA DE CÁLCULO'!B:H,2,)</f>
        <v>SINAPI 99822</v>
      </c>
      <c r="E317" s="123" t="str">
        <f>VLOOKUP(B317,'MEMÓRIA DE CÁLCULO'!B:H,3,)</f>
        <v>LIMPEZA DE PORTA DE MADEIRA</v>
      </c>
      <c r="F317" s="106" t="s">
        <v>24</v>
      </c>
      <c r="G317" s="106">
        <f>VLOOKUP(B317,'MEMÓRIA DE CÁLCULO'!B:H,7,)</f>
        <v>81.647999999999996</v>
      </c>
      <c r="H317" s="120">
        <v>0.18</v>
      </c>
      <c r="I317" s="120">
        <v>0.47</v>
      </c>
      <c r="J317" s="134">
        <f t="shared" si="20"/>
        <v>53.07119999999999</v>
      </c>
      <c r="K317" s="271"/>
    </row>
    <row r="318" spans="1:11" s="43" customFormat="1" x14ac:dyDescent="0.25">
      <c r="B318" s="237" t="s">
        <v>996</v>
      </c>
      <c r="C318" s="238" t="s">
        <v>462</v>
      </c>
      <c r="D318" s="238">
        <f>VLOOKUP(B318,'MEMÓRIA DE CÁLCULO'!B:H,2,)</f>
        <v>260902</v>
      </c>
      <c r="E318" s="123" t="str">
        <f>VLOOKUP(B318,'MEMÓRIA DE CÁLCULO'!B:H,3,)</f>
        <v>PINTURA C/VERNIZ ACRILICO-02 DEMAOS</v>
      </c>
      <c r="F318" s="106" t="s">
        <v>24</v>
      </c>
      <c r="G318" s="106">
        <f>VLOOKUP(B318,'MEMÓRIA DE CÁLCULO'!B:H,7,)</f>
        <v>164.80800000000008</v>
      </c>
      <c r="H318" s="120">
        <v>6.91</v>
      </c>
      <c r="I318" s="120">
        <v>3.61</v>
      </c>
      <c r="J318" s="134">
        <f t="shared" si="20"/>
        <v>1733.7801600000007</v>
      </c>
      <c r="K318" s="271"/>
    </row>
    <row r="319" spans="1:11" s="43" customFormat="1" x14ac:dyDescent="0.25">
      <c r="B319" s="237" t="s">
        <v>997</v>
      </c>
      <c r="C319" s="238" t="s">
        <v>462</v>
      </c>
      <c r="D319" s="238">
        <f>VLOOKUP(B319,'MEMÓRIA DE CÁLCULO'!B:H,2,)</f>
        <v>261703</v>
      </c>
      <c r="E319" s="123" t="str">
        <f>VLOOKUP(B319,'MEMÓRIA DE CÁLCULO'!B:H,3,)</f>
        <v>PINT.POLIESPORTIVA - 2 DEM.(PISOS E CIMENTADOS)</v>
      </c>
      <c r="F319" s="106" t="s">
        <v>24</v>
      </c>
      <c r="G319" s="106">
        <f>VLOOKUP(B319,'MEMÓRIA DE CÁLCULO'!B:H,7,)</f>
        <v>300.13349999999997</v>
      </c>
      <c r="H319" s="120">
        <v>3.16</v>
      </c>
      <c r="I319" s="120">
        <v>6.32</v>
      </c>
      <c r="J319" s="134">
        <f t="shared" si="20"/>
        <v>2845.2655799999998</v>
      </c>
      <c r="K319" s="271"/>
    </row>
    <row r="320" spans="1:11" s="43" customFormat="1" x14ac:dyDescent="0.25">
      <c r="B320" s="237" t="s">
        <v>1026</v>
      </c>
      <c r="C320" s="238" t="s">
        <v>462</v>
      </c>
      <c r="D320" s="238">
        <f>VLOOKUP(B320,'MEMÓRIA DE CÁLCULO'!B:H,2,)</f>
        <v>261008</v>
      </c>
      <c r="E320" s="123" t="str">
        <f>VLOOKUP(B320,'MEMÓRIA DE CÁLCULO'!B:H,3,)</f>
        <v>FUNDO ANTICORROSIVO PARA ESQUADRIAS METÁLICAS</v>
      </c>
      <c r="F320" s="106" t="s">
        <v>24</v>
      </c>
      <c r="G320" s="106">
        <f>VLOOKUP(B320,'MEMÓRIA DE CÁLCULO'!B:H,7,)</f>
        <v>47.29999999999999</v>
      </c>
      <c r="H320" s="120">
        <v>4.09</v>
      </c>
      <c r="I320" s="120">
        <v>6.49</v>
      </c>
      <c r="J320" s="134">
        <f t="shared" ref="J320" si="21">(I320+H320)*G320</f>
        <v>500.43399999999991</v>
      </c>
      <c r="K320" s="271"/>
    </row>
    <row r="321" spans="2:13" s="43" customFormat="1" x14ac:dyDescent="0.25">
      <c r="B321" s="237" t="s">
        <v>1030</v>
      </c>
      <c r="C321" s="238" t="s">
        <v>462</v>
      </c>
      <c r="D321" s="238">
        <f>VLOOKUP(B321,'MEMÓRIA DE CÁLCULO'!B:H,2,)</f>
        <v>261502</v>
      </c>
      <c r="E321" s="123" t="str">
        <f>VLOOKUP(B321,'MEMÓRIA DE CÁLCULO'!B:H,3,)</f>
        <v>PINT.ESMALTE S/ANTICOR 2 DEMAOS</v>
      </c>
      <c r="F321" s="106" t="s">
        <v>24</v>
      </c>
      <c r="G321" s="106">
        <f>VLOOKUP(B321,'MEMÓRIA DE CÁLCULO'!B:H,7,)</f>
        <v>31.82</v>
      </c>
      <c r="H321" s="120">
        <v>3.28</v>
      </c>
      <c r="I321" s="120">
        <v>10.34</v>
      </c>
      <c r="J321" s="134">
        <f t="shared" ref="J321:J322" si="22">(I321+H321)*G321</f>
        <v>433.38839999999999</v>
      </c>
      <c r="K321" s="271"/>
    </row>
    <row r="322" spans="2:13" s="43" customFormat="1" ht="28.5" x14ac:dyDescent="0.25">
      <c r="B322" s="237" t="s">
        <v>1032</v>
      </c>
      <c r="C322" s="238" t="s">
        <v>462</v>
      </c>
      <c r="D322" s="238">
        <f>VLOOKUP(B322,'MEMÓRIA DE CÁLCULO'!B:H,2,)</f>
        <v>261609</v>
      </c>
      <c r="E322" s="123" t="str">
        <f>VLOOKUP(B322,'MEMÓRIA DE CÁLCULO'!B:H,3,)</f>
        <v>PINTURA ESMALTE ALQUIDICO ESTR.METALICA 2 DEMAOS - CONSIDERANDO FACE INTERNA E EXTERNA</v>
      </c>
      <c r="F322" s="106" t="s">
        <v>24</v>
      </c>
      <c r="G322" s="106">
        <f>VLOOKUP(B322,'MEMÓRIA DE CÁLCULO'!B:H,7,)</f>
        <v>378.84000000000003</v>
      </c>
      <c r="H322" s="120">
        <v>9.33</v>
      </c>
      <c r="I322" s="120">
        <v>2.75</v>
      </c>
      <c r="J322" s="134">
        <f t="shared" si="22"/>
        <v>4576.3872000000001</v>
      </c>
      <c r="K322" s="271"/>
    </row>
    <row r="323" spans="2:13" s="43" customFormat="1" x14ac:dyDescent="0.25">
      <c r="B323" s="204"/>
      <c r="C323" s="316"/>
      <c r="D323" s="146"/>
      <c r="E323" s="147"/>
      <c r="F323" s="148"/>
      <c r="G323" s="148"/>
      <c r="H323" s="200"/>
      <c r="I323" s="200"/>
      <c r="J323" s="201"/>
      <c r="K323" s="271"/>
    </row>
    <row r="324" spans="2:13" ht="15" x14ac:dyDescent="0.25">
      <c r="B324" s="626" t="s">
        <v>55</v>
      </c>
      <c r="C324" s="627"/>
      <c r="D324" s="627"/>
      <c r="E324" s="627"/>
      <c r="F324" s="627"/>
      <c r="G324" s="627"/>
      <c r="H324" s="627"/>
      <c r="I324" s="627"/>
      <c r="J324" s="54">
        <f>SUM(J326:J334)</f>
        <v>30861.604816499999</v>
      </c>
      <c r="K324" s="271"/>
      <c r="M324" s="21"/>
    </row>
    <row r="325" spans="2:13" ht="15" x14ac:dyDescent="0.25">
      <c r="B325" s="22">
        <v>21</v>
      </c>
      <c r="C325" s="614" t="s">
        <v>88</v>
      </c>
      <c r="D325" s="584"/>
      <c r="E325" s="584"/>
      <c r="F325" s="584"/>
      <c r="G325" s="584"/>
      <c r="H325" s="584"/>
      <c r="I325" s="584"/>
      <c r="J325" s="585"/>
      <c r="K325" s="271"/>
    </row>
    <row r="326" spans="2:13" x14ac:dyDescent="0.25">
      <c r="B326" s="367" t="s">
        <v>998</v>
      </c>
      <c r="C326" s="301" t="s">
        <v>462</v>
      </c>
      <c r="D326" s="301">
        <f>VLOOKUP(B326,'MEMÓRIA DE CÁLCULO'!B:H,2,)</f>
        <v>271701</v>
      </c>
      <c r="E326" s="370" t="str">
        <f>VLOOKUP(B326,'MEMÓRIA DE CÁLCULO'!B:H,3,)</f>
        <v>BANCADA DE GRANITINA</v>
      </c>
      <c r="F326" s="303" t="s">
        <v>24</v>
      </c>
      <c r="G326" s="303">
        <f>VLOOKUP(B326,'MEMÓRIA DE CÁLCULO'!B:H,7,)</f>
        <v>36.088949999999997</v>
      </c>
      <c r="H326" s="371">
        <v>122.43</v>
      </c>
      <c r="I326" s="371">
        <v>91.64</v>
      </c>
      <c r="J326" s="373">
        <f>(I326+H326)*G326</f>
        <v>7725.5615264999988</v>
      </c>
      <c r="K326" s="271"/>
    </row>
    <row r="327" spans="2:13" ht="27.75" customHeight="1" x14ac:dyDescent="0.25">
      <c r="B327" s="237" t="s">
        <v>999</v>
      </c>
      <c r="C327" s="238" t="s">
        <v>462</v>
      </c>
      <c r="D327" s="238">
        <f>VLOOKUP(B327,'MEMÓRIA DE CÁLCULO'!B:H,2,)</f>
        <v>270210</v>
      </c>
      <c r="E327" s="123" t="str">
        <f>VLOOKUP(B327,'MEMÓRIA DE CÁLCULO'!B:H,3,)</f>
        <v xml:space="preserve">PLANTIO GRAMA ESMERALDA PLACA C/ M.O. IRRIG., ADUBO,TERRA VEGETAL (O.C.) A&lt;11.000,00M2
</v>
      </c>
      <c r="F327" s="106" t="s">
        <v>24</v>
      </c>
      <c r="G327" s="106">
        <f>VLOOKUP(B327,'MEMÓRIA DE CÁLCULO'!B:H,7,)</f>
        <v>459.27087500000005</v>
      </c>
      <c r="H327" s="120">
        <v>7.74</v>
      </c>
      <c r="I327" s="120">
        <v>4.82</v>
      </c>
      <c r="J327" s="134">
        <f t="shared" ref="J327:J332" si="23">(I327+H327)*G327</f>
        <v>5768.4421900000007</v>
      </c>
      <c r="K327" s="271"/>
    </row>
    <row r="328" spans="2:13" ht="22.5" customHeight="1" x14ac:dyDescent="0.25">
      <c r="B328" s="237" t="s">
        <v>1000</v>
      </c>
      <c r="C328" s="238" t="s">
        <v>462</v>
      </c>
      <c r="D328" s="238">
        <f>VLOOKUP(B328,'MEMÓRIA DE CÁLCULO'!B:H,2,)</f>
        <v>270802</v>
      </c>
      <c r="E328" s="123" t="str">
        <f>VLOOKUP(B328,'MEMÓRIA DE CÁLCULO'!B:H,3,)</f>
        <v>MASTROS PARA BANDEIRAS EM FERRO GALVANIZADO (ASSENTADOS/PINTADOS)</v>
      </c>
      <c r="F328" s="106" t="s">
        <v>1015</v>
      </c>
      <c r="G328" s="106">
        <f>VLOOKUP(B328,'MEMÓRIA DE CÁLCULO'!B:H,7,)</f>
        <v>1</v>
      </c>
      <c r="H328" s="120">
        <v>2099.16</v>
      </c>
      <c r="I328" s="120">
        <v>72.77</v>
      </c>
      <c r="J328" s="134">
        <f t="shared" si="23"/>
        <v>2171.9299999999998</v>
      </c>
      <c r="K328" s="271"/>
    </row>
    <row r="329" spans="2:13" x14ac:dyDescent="0.25">
      <c r="B329" s="237" t="s">
        <v>1001</v>
      </c>
      <c r="C329" s="238" t="s">
        <v>462</v>
      </c>
      <c r="D329" s="238">
        <f>VLOOKUP(B329,'MEMÓRIA DE CÁLCULO'!B:H,2,)</f>
        <v>270501</v>
      </c>
      <c r="E329" s="123" t="str">
        <f>VLOOKUP(B329,'MEMÓRIA DE CÁLCULO'!B:H,3,)</f>
        <v>LIMPEZA FINAL DE OBRA - (OBRAS CIVIS)</v>
      </c>
      <c r="F329" s="106" t="s">
        <v>24</v>
      </c>
      <c r="G329" s="106">
        <f>VLOOKUP(B329,'MEMÓRIA DE CÁLCULO'!B:H,7,)</f>
        <v>1667.51</v>
      </c>
      <c r="H329" s="120">
        <v>0.67</v>
      </c>
      <c r="I329" s="120">
        <v>1.45</v>
      </c>
      <c r="J329" s="134">
        <f t="shared" si="23"/>
        <v>3535.1212</v>
      </c>
      <c r="K329" s="271"/>
    </row>
    <row r="330" spans="2:13" x14ac:dyDescent="0.25">
      <c r="B330" s="237" t="s">
        <v>1002</v>
      </c>
      <c r="C330" s="238" t="s">
        <v>462</v>
      </c>
      <c r="D330" s="238">
        <f>VLOOKUP(B330,'MEMÓRIA DE CÁLCULO'!B:H,2,)</f>
        <v>270810</v>
      </c>
      <c r="E330" s="123" t="str">
        <f>VLOOKUP(B330,'MEMÓRIA DE CÁLCULO'!B:H,3,)</f>
        <v>PLACA DE INAUGURACAO ACO ESCOVADO 80 X 60 CM</v>
      </c>
      <c r="F330" s="106" t="s">
        <v>340</v>
      </c>
      <c r="G330" s="106">
        <f>VLOOKUP(B330,'MEMÓRIA DE CÁLCULO'!B:H,7,)</f>
        <v>1</v>
      </c>
      <c r="H330" s="120">
        <v>667.61</v>
      </c>
      <c r="I330" s="120">
        <v>3.99</v>
      </c>
      <c r="J330" s="134">
        <f t="shared" si="23"/>
        <v>671.6</v>
      </c>
      <c r="K330" s="271"/>
    </row>
    <row r="331" spans="2:13" x14ac:dyDescent="0.25">
      <c r="B331" s="237" t="s">
        <v>1003</v>
      </c>
      <c r="C331" s="238" t="s">
        <v>462</v>
      </c>
      <c r="D331" s="238">
        <f>VLOOKUP(B331,'MEMÓRIA DE CÁLCULO'!B:H,2,)</f>
        <v>270701</v>
      </c>
      <c r="E331" s="123" t="str">
        <f>VLOOKUP(B331,'MEMÓRIA DE CÁLCULO'!B:H,3,)</f>
        <v>ALAMBRADO CANO FERRO GALVANIZADO 2" E TELA H=2M PADRÃO GOINFRA</v>
      </c>
      <c r="F331" s="106" t="s">
        <v>29</v>
      </c>
      <c r="G331" s="106">
        <f>VLOOKUP(B331,'MEMÓRIA DE CÁLCULO'!B:H,7,)</f>
        <v>8.5</v>
      </c>
      <c r="H331" s="120">
        <v>555.76</v>
      </c>
      <c r="I331" s="120">
        <v>40.729999999999997</v>
      </c>
      <c r="J331" s="134">
        <f t="shared" si="23"/>
        <v>5070.165</v>
      </c>
      <c r="K331" s="271"/>
    </row>
    <row r="332" spans="2:13" x14ac:dyDescent="0.25">
      <c r="B332" s="237" t="s">
        <v>1059</v>
      </c>
      <c r="C332" s="238" t="s">
        <v>462</v>
      </c>
      <c r="D332" s="238" t="str">
        <f>VLOOKUP(B332,'MEMÓRIA DE CÁLCULO'!B:H,2,)</f>
        <v>COMPOSIÇÃO 14</v>
      </c>
      <c r="E332" s="123" t="str">
        <f>VLOOKUP(B332,'MEMÓRIA DE CÁLCULO'!B:H,3,)</f>
        <v>ESPELHO 40X50 CM</v>
      </c>
      <c r="F332" s="106" t="s">
        <v>24</v>
      </c>
      <c r="G332" s="106">
        <f>VLOOKUP(B332,'MEMÓRIA DE CÁLCULO'!B:H,7,)</f>
        <v>2.4000000000000004</v>
      </c>
      <c r="H332" s="120">
        <v>464.12</v>
      </c>
      <c r="I332" s="120">
        <v>1.45</v>
      </c>
      <c r="J332" s="134">
        <f t="shared" si="23"/>
        <v>1117.3680000000002</v>
      </c>
      <c r="K332" s="271"/>
    </row>
    <row r="333" spans="2:13" x14ac:dyDescent="0.25">
      <c r="B333" s="237" t="s">
        <v>1186</v>
      </c>
      <c r="C333" s="238" t="s">
        <v>1187</v>
      </c>
      <c r="D333" s="238">
        <f>VLOOKUP(B333,'MEMÓRIA DE CÁLCULO'!B:H,2,)</f>
        <v>271303</v>
      </c>
      <c r="E333" s="123" t="str">
        <f>VLOOKUP(B333,'MEMÓRIA DE CÁLCULO'!B:H,3,)</f>
        <v>BANCO DE CONCRETO POLIDO BASE EM ALVENARIA REBOCADA E PINTADA - PADRÃO GOINFRA</v>
      </c>
      <c r="F333" s="13" t="s">
        <v>29</v>
      </c>
      <c r="G333" s="106">
        <f>VLOOKUP(B333,'MEMÓRIA DE CÁLCULO'!B:H,7,)</f>
        <v>9.6</v>
      </c>
      <c r="H333" s="120">
        <v>205.37</v>
      </c>
      <c r="I333" s="120">
        <v>78.23</v>
      </c>
      <c r="J333" s="134">
        <f t="shared" ref="J333" si="24">(I333+H333)*G333</f>
        <v>2722.56</v>
      </c>
      <c r="K333" s="271"/>
    </row>
    <row r="334" spans="2:13" x14ac:dyDescent="0.25">
      <c r="B334" s="237" t="s">
        <v>1227</v>
      </c>
      <c r="C334" s="238" t="s">
        <v>462</v>
      </c>
      <c r="D334" s="238" t="str">
        <f>VLOOKUP(B334,'MEMÓRIA DE CÁLCULO'!B:H,2,)</f>
        <v>COMPOSIÇÃO 17</v>
      </c>
      <c r="E334" s="123" t="str">
        <f>VLOOKUP(B334,'MEMÓRIA DE CÁLCULO'!B:H,3,)</f>
        <v>BANCADA EM GRANITO INSTALADA</v>
      </c>
      <c r="F334" s="106" t="s">
        <v>24</v>
      </c>
      <c r="G334" s="106">
        <f>VLOOKUP(B334,'MEMÓRIA DE CÁLCULO'!B:H,7,)</f>
        <v>4.59</v>
      </c>
      <c r="H334" s="120">
        <v>417.39</v>
      </c>
      <c r="I334" s="120">
        <v>35.520000000000003</v>
      </c>
      <c r="J334" s="134">
        <f t="shared" ref="J334" si="25">(I334+H334)*G334</f>
        <v>2078.8568999999998</v>
      </c>
      <c r="K334" s="271"/>
    </row>
    <row r="335" spans="2:13" x14ac:dyDescent="0.25">
      <c r="B335" s="315"/>
      <c r="C335" s="316"/>
      <c r="D335" s="316"/>
      <c r="E335" s="316"/>
      <c r="F335" s="316"/>
      <c r="G335" s="316"/>
      <c r="H335" s="316"/>
      <c r="I335" s="316"/>
      <c r="J335" s="317"/>
      <c r="K335" s="236"/>
    </row>
    <row r="336" spans="2:13" ht="20.25" customHeight="1" x14ac:dyDescent="0.25">
      <c r="B336" s="630" t="s">
        <v>9</v>
      </c>
      <c r="C336" s="631"/>
      <c r="D336" s="631"/>
      <c r="E336" s="631"/>
      <c r="F336" s="631"/>
      <c r="G336" s="631"/>
      <c r="H336" s="631"/>
      <c r="I336" s="631"/>
      <c r="J336" s="632"/>
      <c r="K336" s="629"/>
    </row>
    <row r="337" spans="2:11" ht="15.75" x14ac:dyDescent="0.25">
      <c r="B337" s="7"/>
      <c r="C337" s="2"/>
      <c r="D337" s="34"/>
      <c r="E337" s="1"/>
      <c r="F337" s="10"/>
      <c r="G337" s="10"/>
      <c r="H337" s="48"/>
      <c r="I337" s="55" t="s">
        <v>7</v>
      </c>
      <c r="J337" s="56">
        <f>J324+J309+J304+J298+J285+J279+J271+J255+J249+J244+J236+J230+J116+J64+J54+J44+J39+J35+J11+J216+J260</f>
        <v>726877.15310199989</v>
      </c>
      <c r="K337" s="629"/>
    </row>
    <row r="338" spans="2:11" ht="15.75" x14ac:dyDescent="0.25">
      <c r="B338" s="8"/>
      <c r="C338" s="4"/>
      <c r="D338" s="35"/>
      <c r="E338" s="3"/>
      <c r="F338" s="11"/>
      <c r="G338" s="11"/>
      <c r="H338" s="44"/>
      <c r="I338" s="57" t="s">
        <v>1273</v>
      </c>
      <c r="J338" s="58">
        <f>ROUNDUP((J337*0.2388),2)</f>
        <v>173578.27000000002</v>
      </c>
      <c r="K338" s="629"/>
    </row>
    <row r="339" spans="2:11" ht="16.5" thickBot="1" x14ac:dyDescent="0.3">
      <c r="B339" s="9"/>
      <c r="C339" s="6"/>
      <c r="D339" s="36"/>
      <c r="E339" s="5"/>
      <c r="F339" s="12"/>
      <c r="G339" s="12"/>
      <c r="H339" s="45"/>
      <c r="I339" s="59" t="s">
        <v>8</v>
      </c>
      <c r="J339" s="60">
        <f>J337+J338</f>
        <v>900455.42310199991</v>
      </c>
      <c r="K339" s="629"/>
    </row>
    <row r="340" spans="2:11" ht="15" x14ac:dyDescent="0.25">
      <c r="B340" s="257"/>
      <c r="C340" s="258"/>
      <c r="D340" s="259"/>
      <c r="E340" s="260"/>
      <c r="F340" s="261"/>
      <c r="G340" s="258"/>
      <c r="H340" s="262"/>
      <c r="I340" s="262"/>
      <c r="J340" s="263"/>
      <c r="K340" s="629"/>
    </row>
    <row r="341" spans="2:11" ht="32.25" customHeight="1" x14ac:dyDescent="0.25">
      <c r="B341" s="8"/>
      <c r="C341" s="319"/>
      <c r="D341" s="256"/>
      <c r="E341" s="256" t="s">
        <v>1261</v>
      </c>
      <c r="F341" s="635" t="s">
        <v>1262</v>
      </c>
      <c r="G341" s="635"/>
      <c r="H341" s="635"/>
      <c r="I341" s="635"/>
      <c r="J341" s="636"/>
      <c r="K341" s="629"/>
    </row>
    <row r="342" spans="2:11" ht="18" x14ac:dyDescent="0.25">
      <c r="B342" s="8"/>
      <c r="C342" s="4"/>
      <c r="D342" s="37"/>
      <c r="E342" s="255"/>
      <c r="F342" s="269"/>
      <c r="G342" s="633"/>
      <c r="H342" s="633"/>
      <c r="I342" s="633"/>
      <c r="J342" s="634"/>
      <c r="K342" s="629"/>
    </row>
    <row r="343" spans="2:11" ht="18" x14ac:dyDescent="0.25">
      <c r="B343" s="8"/>
      <c r="C343" s="27"/>
      <c r="D343" s="39"/>
      <c r="E343" s="311" t="s">
        <v>10</v>
      </c>
      <c r="F343" s="268"/>
      <c r="G343" s="633" t="s">
        <v>10</v>
      </c>
      <c r="H343" s="633"/>
      <c r="I343" s="633"/>
      <c r="J343" s="634"/>
      <c r="K343" s="629"/>
    </row>
    <row r="344" spans="2:11" ht="15" x14ac:dyDescent="0.25">
      <c r="B344" s="28"/>
      <c r="C344" s="27"/>
      <c r="D344" s="39"/>
      <c r="E344" s="320" t="s">
        <v>1263</v>
      </c>
      <c r="F344" s="33"/>
      <c r="G344" s="620" t="s">
        <v>1264</v>
      </c>
      <c r="H344" s="620"/>
      <c r="I344" s="620"/>
      <c r="J344" s="621"/>
    </row>
    <row r="345" spans="2:11" ht="23.25" customHeight="1" thickBot="1" x14ac:dyDescent="0.3">
      <c r="B345" s="264"/>
      <c r="C345" s="265"/>
      <c r="D345" s="266"/>
      <c r="E345" s="318" t="s">
        <v>1265</v>
      </c>
      <c r="F345" s="267"/>
      <c r="G345" s="622" t="s">
        <v>1266</v>
      </c>
      <c r="H345" s="622"/>
      <c r="I345" s="622"/>
      <c r="J345" s="623"/>
    </row>
    <row r="346" spans="2:11" x14ac:dyDescent="0.25">
      <c r="B346" s="30"/>
      <c r="C346" s="16"/>
      <c r="D346" s="40"/>
      <c r="E346" s="17"/>
      <c r="F346" s="13"/>
      <c r="G346" s="13"/>
      <c r="H346" s="46"/>
      <c r="I346" s="46"/>
      <c r="J346" s="32"/>
    </row>
    <row r="347" spans="2:11" x14ac:dyDescent="0.25">
      <c r="D347" s="41"/>
    </row>
    <row r="348" spans="2:11" x14ac:dyDescent="0.25">
      <c r="D348" s="41"/>
    </row>
    <row r="349" spans="2:11" x14ac:dyDescent="0.25">
      <c r="D349" s="41"/>
      <c r="E349" s="26"/>
    </row>
  </sheetData>
  <sheetProtection algorithmName="SHA-512" hashValue="SvU8jCLLHWZHwXsCaLwzfg58HenDjWmp3JnP8m6+HVZPaR8TadoVodr3oDACu26UdF9OMbdMK9VpzkN0FKlxWA==" saltValue="vXSb5iecxSAvYKVp7raikg==" spinCount="100000" sheet="1" formatCells="0" formatColumns="0" formatRows="0" insertColumns="0" insertRows="0" insertHyperlinks="0" deleteColumns="0" deleteRows="0" sort="0" autoFilter="0" pivotTables="0"/>
  <mergeCells count="65">
    <mergeCell ref="C272:J272"/>
    <mergeCell ref="B255:I255"/>
    <mergeCell ref="C250:J250"/>
    <mergeCell ref="C237:J237"/>
    <mergeCell ref="C245:J245"/>
    <mergeCell ref="B260:I260"/>
    <mergeCell ref="C261:J261"/>
    <mergeCell ref="B271:I271"/>
    <mergeCell ref="C256:J256"/>
    <mergeCell ref="B249:I249"/>
    <mergeCell ref="B244:I244"/>
    <mergeCell ref="K336:K343"/>
    <mergeCell ref="B336:J336"/>
    <mergeCell ref="G343:J343"/>
    <mergeCell ref="G342:J342"/>
    <mergeCell ref="F341:J341"/>
    <mergeCell ref="G344:J344"/>
    <mergeCell ref="G345:J345"/>
    <mergeCell ref="C286:J286"/>
    <mergeCell ref="B279:I279"/>
    <mergeCell ref="B298:I298"/>
    <mergeCell ref="B304:I304"/>
    <mergeCell ref="B308:J308"/>
    <mergeCell ref="C305:J305"/>
    <mergeCell ref="C299:J299"/>
    <mergeCell ref="C280:J280"/>
    <mergeCell ref="B309:I309"/>
    <mergeCell ref="C310:J310"/>
    <mergeCell ref="B285:I285"/>
    <mergeCell ref="C325:J325"/>
    <mergeCell ref="B324:I324"/>
    <mergeCell ref="C40:J40"/>
    <mergeCell ref="B11:I11"/>
    <mergeCell ref="B39:I39"/>
    <mergeCell ref="B35:I35"/>
    <mergeCell ref="E8:H8"/>
    <mergeCell ref="C45:J45"/>
    <mergeCell ref="C55:J55"/>
    <mergeCell ref="K1:K6"/>
    <mergeCell ref="B3:J3"/>
    <mergeCell ref="B4:J4"/>
    <mergeCell ref="B5:J5"/>
    <mergeCell ref="B6:J6"/>
    <mergeCell ref="B2:J2"/>
    <mergeCell ref="B44:I44"/>
    <mergeCell ref="B54:I54"/>
    <mergeCell ref="B7:J7"/>
    <mergeCell ref="B43:J43"/>
    <mergeCell ref="B38:J38"/>
    <mergeCell ref="B9:J9"/>
    <mergeCell ref="C12:J12"/>
    <mergeCell ref="C36:J36"/>
    <mergeCell ref="B230:I230"/>
    <mergeCell ref="B236:I236"/>
    <mergeCell ref="C231:J231"/>
    <mergeCell ref="B216:I216"/>
    <mergeCell ref="C217:J217"/>
    <mergeCell ref="C65:J65"/>
    <mergeCell ref="B64:I64"/>
    <mergeCell ref="B190:I190"/>
    <mergeCell ref="B163:I163"/>
    <mergeCell ref="B208:I208"/>
    <mergeCell ref="C117:J117"/>
    <mergeCell ref="B116:I116"/>
    <mergeCell ref="B118:I118"/>
  </mergeCells>
  <phoneticPr fontId="5" type="noConversion"/>
  <printOptions horizontalCentered="1"/>
  <pageMargins left="0.23622047244094491" right="0.23622047244094491" top="0.27559055118110237" bottom="0.74803149606299213" header="0.31496062992125984" footer="0.31496062992125984"/>
  <pageSetup paperSize="9" scale="62" fitToHeight="0" orientation="landscape" r:id="rId1"/>
  <headerFooter>
    <oddFoote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MEMÓRIA DE CÁLCULO</vt:lpstr>
      <vt:lpstr>ORÇAMENTO </vt:lpstr>
      <vt:lpstr>'MEMÓRIA DE CÁLCULO'!Area_de_impressao</vt:lpstr>
      <vt:lpstr>'ORÇAMENTO '!Area_de_impressao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Jose Amaral Silva Neto</cp:lastModifiedBy>
  <cp:lastPrinted>2021-10-18T17:57:31Z</cp:lastPrinted>
  <dcterms:created xsi:type="dcterms:W3CDTF">2017-11-14T15:22:18Z</dcterms:created>
  <dcterms:modified xsi:type="dcterms:W3CDTF">2021-10-18T18:14:04Z</dcterms:modified>
</cp:coreProperties>
</file>