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15270" windowHeight="4635"/>
  </bookViews>
  <sheets>
    <sheet name="Orçamento" sheetId="2" r:id="rId1"/>
    <sheet name="Memória de cálculo" sheetId="1" r:id="rId2"/>
  </sheets>
  <externalReferences>
    <externalReference r:id="rId3"/>
  </externalReferences>
  <definedNames>
    <definedName name="_xlnm.Print_Area" localSheetId="1">'Memória de cálculo'!$B$1:$H$564</definedName>
    <definedName name="_xlnm.Print_Area" localSheetId="0">Orçamento!$A$1:$K$214</definedName>
  </definedNames>
  <calcPr calcId="125725"/>
</workbook>
</file>

<file path=xl/calcChain.xml><?xml version="1.0" encoding="utf-8"?>
<calcChain xmlns="http://schemas.openxmlformats.org/spreadsheetml/2006/main">
  <c r="F162" i="2"/>
  <c r="J162" s="1"/>
  <c r="H447" i="1"/>
  <c r="G446"/>
  <c r="G445"/>
  <c r="E446"/>
  <c r="E445"/>
  <c r="H468"/>
  <c r="F89" i="2"/>
  <c r="J89" s="1"/>
  <c r="H192" i="1"/>
  <c r="H191"/>
  <c r="H190"/>
  <c r="E189"/>
  <c r="H189" s="1"/>
  <c r="F19" i="2"/>
  <c r="J19" s="1"/>
  <c r="D19" i="1"/>
  <c r="C19"/>
  <c r="B6"/>
  <c r="H193" l="1"/>
  <c r="H35"/>
  <c r="H32"/>
  <c r="H13"/>
  <c r="H25"/>
  <c r="H24"/>
  <c r="H26" l="1"/>
  <c r="F24" i="2" s="1"/>
  <c r="J24" s="1"/>
  <c r="J25" s="1"/>
  <c r="K25" s="1"/>
  <c r="H470" i="1"/>
  <c r="F178" i="2" s="1"/>
  <c r="J178" s="1"/>
  <c r="F177"/>
  <c r="J177" s="1"/>
  <c r="H466" i="1"/>
  <c r="F176" i="2" s="1"/>
  <c r="J176" s="1"/>
  <c r="F30"/>
  <c r="J30" s="1"/>
  <c r="F29"/>
  <c r="J29" s="1"/>
  <c r="F28"/>
  <c r="J28" s="1"/>
  <c r="F20"/>
  <c r="J20" s="1"/>
  <c r="F18"/>
  <c r="J18" s="1"/>
  <c r="H15" i="1"/>
  <c r="F14" i="2" s="1"/>
  <c r="J14" s="1"/>
  <c r="F13"/>
  <c r="J13" s="1"/>
  <c r="H95" i="1"/>
  <c r="F64" i="2" s="1"/>
  <c r="J64" s="1"/>
  <c r="H91" i="1"/>
  <c r="F63" i="2" s="1"/>
  <c r="J63" s="1"/>
  <c r="H286" i="1"/>
  <c r="F125" i="2" s="1"/>
  <c r="J125" s="1"/>
  <c r="H282" i="1"/>
  <c r="F124" i="2" s="1"/>
  <c r="J124" s="1"/>
  <c r="H360" i="1"/>
  <c r="H359"/>
  <c r="H184"/>
  <c r="H183"/>
  <c r="H135"/>
  <c r="H134"/>
  <c r="E133"/>
  <c r="H133" s="1"/>
  <c r="H56"/>
  <c r="H55"/>
  <c r="E54"/>
  <c r="H54" s="1"/>
  <c r="D53"/>
  <c r="C53"/>
  <c r="H129"/>
  <c r="H128"/>
  <c r="H127"/>
  <c r="E126"/>
  <c r="H126" s="1"/>
  <c r="H48"/>
  <c r="H47"/>
  <c r="H46"/>
  <c r="E45"/>
  <c r="F150" i="2"/>
  <c r="F148"/>
  <c r="F111"/>
  <c r="H529" i="1"/>
  <c r="H530"/>
  <c r="H524"/>
  <c r="H525"/>
  <c r="H516"/>
  <c r="H517"/>
  <c r="H518"/>
  <c r="H520"/>
  <c r="H519"/>
  <c r="J179" i="2" l="1"/>
  <c r="K179" s="1"/>
  <c r="H185" i="1"/>
  <c r="J31" i="2"/>
  <c r="J21"/>
  <c r="K21" s="1"/>
  <c r="J15"/>
  <c r="K15" s="1"/>
  <c r="H136" i="1"/>
  <c r="H57"/>
  <c r="F44" i="2" s="1"/>
  <c r="J44" s="1"/>
  <c r="H361" i="1"/>
  <c r="H130"/>
  <c r="H550"/>
  <c r="H551"/>
  <c r="H549"/>
  <c r="H546"/>
  <c r="F194" i="2" s="1"/>
  <c r="E540" i="1"/>
  <c r="H540" s="1"/>
  <c r="E539"/>
  <c r="H539" s="1"/>
  <c r="E535"/>
  <c r="H535" s="1"/>
  <c r="E536"/>
  <c r="H536" s="1"/>
  <c r="E528"/>
  <c r="H528" s="1"/>
  <c r="E523"/>
  <c r="H523" s="1"/>
  <c r="E515"/>
  <c r="H515" s="1"/>
  <c r="H506"/>
  <c r="H504"/>
  <c r="H510"/>
  <c r="H509"/>
  <c r="H508"/>
  <c r="H492"/>
  <c r="H493"/>
  <c r="H494"/>
  <c r="H495"/>
  <c r="H496"/>
  <c r="H497"/>
  <c r="H486"/>
  <c r="H485"/>
  <c r="H484"/>
  <c r="H482"/>
  <c r="H480"/>
  <c r="H499"/>
  <c r="H500" s="1"/>
  <c r="E489"/>
  <c r="E491"/>
  <c r="H491" s="1"/>
  <c r="F182" i="2"/>
  <c r="F172"/>
  <c r="H451" i="1"/>
  <c r="F166" i="2" s="1"/>
  <c r="F161"/>
  <c r="J33" l="1"/>
  <c r="J34" s="1"/>
  <c r="K31"/>
  <c r="H537" i="1"/>
  <c r="H541"/>
  <c r="H489"/>
  <c r="H490" s="1"/>
  <c r="H552"/>
  <c r="H553" s="1"/>
  <c r="F195" i="2" s="1"/>
  <c r="J195" s="1"/>
  <c r="H526" i="1"/>
  <c r="H521"/>
  <c r="H457"/>
  <c r="F170" i="2" s="1"/>
  <c r="J170" s="1"/>
  <c r="H433" i="1"/>
  <c r="E431"/>
  <c r="H431" s="1"/>
  <c r="H430"/>
  <c r="E428"/>
  <c r="H428" s="1"/>
  <c r="H427"/>
  <c r="H425"/>
  <c r="H423"/>
  <c r="H421"/>
  <c r="H414"/>
  <c r="E414"/>
  <c r="H413"/>
  <c r="E413"/>
  <c r="H412"/>
  <c r="E412"/>
  <c r="H410"/>
  <c r="E410"/>
  <c r="H408"/>
  <c r="E408"/>
  <c r="H407"/>
  <c r="E407"/>
  <c r="H406"/>
  <c r="E406"/>
  <c r="H404"/>
  <c r="E404"/>
  <c r="H403"/>
  <c r="E403"/>
  <c r="H402"/>
  <c r="E402"/>
  <c r="H400"/>
  <c r="E400"/>
  <c r="H399"/>
  <c r="E399"/>
  <c r="H398"/>
  <c r="E398"/>
  <c r="H397"/>
  <c r="E397"/>
  <c r="H396"/>
  <c r="E396"/>
  <c r="H391"/>
  <c r="H390"/>
  <c r="E389"/>
  <c r="H389" s="1"/>
  <c r="H386"/>
  <c r="H385"/>
  <c r="E384"/>
  <c r="H384" s="1"/>
  <c r="H381"/>
  <c r="H380"/>
  <c r="E379"/>
  <c r="H379" s="1"/>
  <c r="H376"/>
  <c r="H375"/>
  <c r="E374"/>
  <c r="H374" s="1"/>
  <c r="H371"/>
  <c r="H370"/>
  <c r="H369"/>
  <c r="H368"/>
  <c r="H367"/>
  <c r="H366"/>
  <c r="E365"/>
  <c r="H365" s="1"/>
  <c r="H356"/>
  <c r="H355"/>
  <c r="H354"/>
  <c r="H353"/>
  <c r="E352"/>
  <c r="H352" s="1"/>
  <c r="H351"/>
  <c r="H348"/>
  <c r="H347"/>
  <c r="E346"/>
  <c r="H346" s="1"/>
  <c r="H343"/>
  <c r="H342"/>
  <c r="E341"/>
  <c r="H341" s="1"/>
  <c r="H338"/>
  <c r="H337"/>
  <c r="H336"/>
  <c r="E335"/>
  <c r="H335" s="1"/>
  <c r="E334"/>
  <c r="H334" s="1"/>
  <c r="H331"/>
  <c r="H330"/>
  <c r="H329"/>
  <c r="E328"/>
  <c r="H328" s="1"/>
  <c r="E327"/>
  <c r="H327" s="1"/>
  <c r="H324"/>
  <c r="H323"/>
  <c r="H322"/>
  <c r="H321"/>
  <c r="H320"/>
  <c r="H319"/>
  <c r="E318"/>
  <c r="H318" s="1"/>
  <c r="H312"/>
  <c r="H311"/>
  <c r="H310"/>
  <c r="H309"/>
  <c r="H308"/>
  <c r="H303"/>
  <c r="H302"/>
  <c r="H297"/>
  <c r="F130" i="2" s="1"/>
  <c r="J130" s="1"/>
  <c r="H293" i="1"/>
  <c r="F128" i="2" s="1"/>
  <c r="J128" s="1"/>
  <c r="H290" i="1"/>
  <c r="F127" i="2" s="1"/>
  <c r="J127" s="1"/>
  <c r="H278" i="1"/>
  <c r="F123" i="2" s="1"/>
  <c r="H271" i="1"/>
  <c r="F117" i="2" s="1"/>
  <c r="J117" s="1"/>
  <c r="H268" i="1"/>
  <c r="F116" i="2" s="1"/>
  <c r="J116" s="1"/>
  <c r="H265" i="1"/>
  <c r="F115" i="2" s="1"/>
  <c r="J115" s="1"/>
  <c r="H254" i="1"/>
  <c r="H253"/>
  <c r="H252"/>
  <c r="H251"/>
  <c r="H250"/>
  <c r="J182" i="2"/>
  <c r="J183" s="1"/>
  <c r="K183" s="1"/>
  <c r="J172"/>
  <c r="J166"/>
  <c r="J161"/>
  <c r="J150"/>
  <c r="J148"/>
  <c r="J123"/>
  <c r="J111"/>
  <c r="J112" s="1"/>
  <c r="K112" s="1"/>
  <c r="J163" l="1"/>
  <c r="K163" s="1"/>
  <c r="K35"/>
  <c r="J35"/>
  <c r="J131"/>
  <c r="K131" s="1"/>
  <c r="H487" i="1"/>
  <c r="F186" i="2" s="1"/>
  <c r="J186" s="1"/>
  <c r="J173"/>
  <c r="K173" s="1"/>
  <c r="J167"/>
  <c r="K167" s="1"/>
  <c r="J196"/>
  <c r="H349" i="1"/>
  <c r="H377"/>
  <c r="H344"/>
  <c r="H392"/>
  <c r="H415"/>
  <c r="H304"/>
  <c r="F134" i="2" s="1"/>
  <c r="J134" s="1"/>
  <c r="J135" s="1"/>
  <c r="K135" s="1"/>
  <c r="H387" i="1"/>
  <c r="H382"/>
  <c r="H313"/>
  <c r="F138" i="2" s="1"/>
  <c r="J138" s="1"/>
  <c r="J139" s="1"/>
  <c r="K139" s="1"/>
  <c r="H325" i="1"/>
  <c r="H372"/>
  <c r="H434"/>
  <c r="F149" i="2" s="1"/>
  <c r="J149" s="1"/>
  <c r="J151" s="1"/>
  <c r="K151" s="1"/>
  <c r="H498" i="1"/>
  <c r="H501" s="1"/>
  <c r="F187" i="2" s="1"/>
  <c r="J187" s="1"/>
  <c r="H332" i="1"/>
  <c r="H357"/>
  <c r="H255"/>
  <c r="F107" i="2" s="1"/>
  <c r="J107" s="1"/>
  <c r="J108" s="1"/>
  <c r="K108" s="1"/>
  <c r="H339" i="1"/>
  <c r="H511"/>
  <c r="H512" s="1"/>
  <c r="F188" i="2" s="1"/>
  <c r="J188" s="1"/>
  <c r="H531" i="1"/>
  <c r="H532" s="1"/>
  <c r="F189" i="2" s="1"/>
  <c r="J189" s="1"/>
  <c r="H542" i="1"/>
  <c r="F190" i="2" s="1"/>
  <c r="J190" s="1"/>
  <c r="J118"/>
  <c r="K118" s="1"/>
  <c r="F144" l="1"/>
  <c r="J144" s="1"/>
  <c r="H362" i="1"/>
  <c r="F142" i="2" s="1"/>
  <c r="J142" s="1"/>
  <c r="J191"/>
  <c r="J198" s="1"/>
  <c r="H393" i="1"/>
  <c r="F143" i="2" s="1"/>
  <c r="J143" s="1"/>
  <c r="K196"/>
  <c r="J199" l="1"/>
  <c r="J200" s="1"/>
  <c r="J145"/>
  <c r="K191"/>
  <c r="K200" l="1"/>
  <c r="K145"/>
  <c r="J153"/>
  <c r="F84"/>
  <c r="J84" s="1"/>
  <c r="K155" l="1"/>
  <c r="J154"/>
  <c r="J155" s="1"/>
  <c r="H241" i="1"/>
  <c r="H239"/>
  <c r="H237"/>
  <c r="H235"/>
  <c r="H233"/>
  <c r="H231"/>
  <c r="H242" l="1"/>
  <c r="F95" i="2" s="1"/>
  <c r="J95" s="1"/>
  <c r="E224" i="1"/>
  <c r="H224" s="1"/>
  <c r="E223"/>
  <c r="H223" s="1"/>
  <c r="E222"/>
  <c r="H222" s="1"/>
  <c r="E221"/>
  <c r="H221" s="1"/>
  <c r="E220"/>
  <c r="H220" s="1"/>
  <c r="E218"/>
  <c r="H218" s="1"/>
  <c r="E217"/>
  <c r="H217" s="1"/>
  <c r="E214"/>
  <c r="H214" s="1"/>
  <c r="E210"/>
  <c r="H210" s="1"/>
  <c r="E208"/>
  <c r="H208" s="1"/>
  <c r="E207"/>
  <c r="H207" s="1"/>
  <c r="E206"/>
  <c r="H206" s="1"/>
  <c r="E200"/>
  <c r="H200" s="1"/>
  <c r="E199"/>
  <c r="H199" s="1"/>
  <c r="E198"/>
  <c r="H198" s="1"/>
  <c r="H197"/>
  <c r="E212"/>
  <c r="H212" s="1"/>
  <c r="E211"/>
  <c r="H211" s="1"/>
  <c r="E216"/>
  <c r="H216" s="1"/>
  <c r="E215"/>
  <c r="H215" s="1"/>
  <c r="E196"/>
  <c r="H196" s="1"/>
  <c r="E204"/>
  <c r="H204" s="1"/>
  <c r="E203"/>
  <c r="H203" s="1"/>
  <c r="E202"/>
  <c r="H202" s="1"/>
  <c r="F83" i="2"/>
  <c r="H121" i="1"/>
  <c r="H122" s="1"/>
  <c r="F79" i="2" s="1"/>
  <c r="J79" s="1"/>
  <c r="H118" i="1"/>
  <c r="H119" s="1"/>
  <c r="F78" i="2" s="1"/>
  <c r="J78" s="1"/>
  <c r="J80" s="1"/>
  <c r="K80" s="1"/>
  <c r="H113" i="1"/>
  <c r="H114" s="1"/>
  <c r="F74" i="2" s="1"/>
  <c r="J74" s="1"/>
  <c r="H109" i="1"/>
  <c r="F70" i="2" s="1"/>
  <c r="J70" s="1"/>
  <c r="H105" i="1"/>
  <c r="F68" i="2" s="1"/>
  <c r="J68" s="1"/>
  <c r="H84" i="1"/>
  <c r="F61" i="2" s="1"/>
  <c r="J61" s="1"/>
  <c r="H87" i="1"/>
  <c r="F62" i="2" s="1"/>
  <c r="J62" s="1"/>
  <c r="H101" i="1"/>
  <c r="F66" i="2" s="1"/>
  <c r="J66" s="1"/>
  <c r="B4" i="1"/>
  <c r="H77"/>
  <c r="F55" i="2" s="1"/>
  <c r="J55" s="1"/>
  <c r="H73" i="1"/>
  <c r="F54" i="2" s="1"/>
  <c r="J54" s="1"/>
  <c r="H69" i="1"/>
  <c r="F53" i="2" s="1"/>
  <c r="J53" s="1"/>
  <c r="H66" i="1"/>
  <c r="F52" i="2" s="1"/>
  <c r="J52" s="1"/>
  <c r="J71" l="1"/>
  <c r="K71" s="1"/>
  <c r="J83"/>
  <c r="J85" s="1"/>
  <c r="K85" s="1"/>
  <c r="H225" i="1"/>
  <c r="F90" i="2" s="1"/>
  <c r="J90" s="1"/>
  <c r="F48" l="1"/>
  <c r="J48" s="1"/>
  <c r="H52" i="1" l="1"/>
  <c r="F43" i="2" s="1"/>
  <c r="J43" s="1"/>
  <c r="H45" i="1"/>
  <c r="H42"/>
  <c r="H43" s="1"/>
  <c r="F41" i="2" s="1"/>
  <c r="J41" s="1"/>
  <c r="H150" i="1"/>
  <c r="H178"/>
  <c r="H179"/>
  <c r="H180"/>
  <c r="E175"/>
  <c r="E169"/>
  <c r="E163"/>
  <c r="H159"/>
  <c r="E158"/>
  <c r="H155"/>
  <c r="E153"/>
  <c r="H153" s="1"/>
  <c r="E147"/>
  <c r="H144"/>
  <c r="H143"/>
  <c r="H142"/>
  <c r="E141"/>
  <c r="H49" l="1"/>
  <c r="F42" i="2" s="1"/>
  <c r="J42" s="1"/>
  <c r="J45" s="1"/>
  <c r="H141" i="1"/>
  <c r="H145" s="1"/>
  <c r="H147"/>
  <c r="H158"/>
  <c r="H163"/>
  <c r="H169"/>
  <c r="H176"/>
  <c r="H175"/>
  <c r="H177" l="1"/>
  <c r="H181" s="1"/>
  <c r="H172"/>
  <c r="H171"/>
  <c r="H170"/>
  <c r="H166"/>
  <c r="H165"/>
  <c r="H164"/>
  <c r="H160"/>
  <c r="H161" s="1"/>
  <c r="H154"/>
  <c r="H148"/>
  <c r="H149"/>
  <c r="H167" l="1"/>
  <c r="H173"/>
  <c r="H151"/>
  <c r="H156"/>
  <c r="H186" l="1"/>
  <c r="F88" i="2" s="1"/>
  <c r="J88" s="1"/>
  <c r="J91" s="1"/>
  <c r="J94" l="1"/>
  <c r="J75" l="1"/>
  <c r="K75" s="1"/>
  <c r="J56" l="1"/>
  <c r="F96" l="1"/>
  <c r="J96" s="1"/>
  <c r="B7" i="1" l="1"/>
  <c r="B7" i="2"/>
  <c r="J97" l="1"/>
  <c r="J49"/>
  <c r="K49" s="1"/>
  <c r="B5" i="1"/>
  <c r="J99" i="2" l="1"/>
  <c r="K97"/>
  <c r="K56"/>
  <c r="J202" l="1"/>
  <c r="J203" s="1"/>
  <c r="J204" s="1"/>
  <c r="K91"/>
  <c r="K45" l="1"/>
  <c r="K101" l="1"/>
  <c r="K204" s="1"/>
  <c r="J100"/>
  <c r="J101" s="1"/>
</calcChain>
</file>

<file path=xl/sharedStrings.xml><?xml version="1.0" encoding="utf-8"?>
<sst xmlns="http://schemas.openxmlformats.org/spreadsheetml/2006/main" count="1408" uniqueCount="402">
  <si>
    <t>PREFEITURA MUNICIPAL DE CATALÃO - GO</t>
  </si>
  <si>
    <t>SECRETARIA DE OBRAS</t>
  </si>
  <si>
    <t xml:space="preserve">MEMÓRIA DE CALCULO </t>
  </si>
  <si>
    <t>ITEM</t>
  </si>
  <si>
    <t>DESCRIÇÃO</t>
  </si>
  <si>
    <t>UNIDADE</t>
  </si>
  <si>
    <t>MEMÓRIA DE CÁLCULO</t>
  </si>
  <si>
    <t>Grupo de Serviço: 164 - Serviços Preliminares</t>
  </si>
  <si>
    <t>SERVIÇOS PRELIMINARES</t>
  </si>
  <si>
    <t>m2</t>
  </si>
  <si>
    <t>Comprimento</t>
  </si>
  <si>
    <t>Total</t>
  </si>
  <si>
    <t>1.1</t>
  </si>
  <si>
    <t>1.2</t>
  </si>
  <si>
    <t>1.3</t>
  </si>
  <si>
    <t>TOTAL</t>
  </si>
  <si>
    <t>Grupo de Serviço: 165 - Transportes</t>
  </si>
  <si>
    <t>TRANSPORTES</t>
  </si>
  <si>
    <t>2.1</t>
  </si>
  <si>
    <t>Grupo de Serviço: 169 - Instalações Elét./Telefônica/Cabeamento Estruturado</t>
  </si>
  <si>
    <t>6.1</t>
  </si>
  <si>
    <t>7.1</t>
  </si>
  <si>
    <t>PREFEITURA MUNICIPAL DE CATALÃO</t>
  </si>
  <si>
    <t>ORÇAMENTO BÁSICO ESTIMADO</t>
  </si>
  <si>
    <t>CÓDIGO</t>
  </si>
  <si>
    <t>QUANT.</t>
  </si>
  <si>
    <t>UND.</t>
  </si>
  <si>
    <t>MATERIAL</t>
  </si>
  <si>
    <t>MÃO-DE-OBRA</t>
  </si>
  <si>
    <t>TOTAL C/ BDI</t>
  </si>
  <si>
    <t xml:space="preserve">m2 </t>
  </si>
  <si>
    <t>SUBTOTAL</t>
  </si>
  <si>
    <t>INST. ELÉT./TELEFÔNICA/CABEAMENTO ESTRUTURADO</t>
  </si>
  <si>
    <t>Grupo de Serviço: 188 - Pintura</t>
  </si>
  <si>
    <t>PINTURA</t>
  </si>
  <si>
    <t xml:space="preserve">PINTURA LATEX ACRILICO 2 DEMAOS </t>
  </si>
  <si>
    <t>AGETOP</t>
  </si>
  <si>
    <t>Grupo de Serviço: 189 - Diversos</t>
  </si>
  <si>
    <t>DIVERSOS</t>
  </si>
  <si>
    <t>TOTAIS</t>
  </si>
  <si>
    <t>BDI (27,30%)</t>
  </si>
  <si>
    <t>4.1</t>
  </si>
  <si>
    <t>4.2</t>
  </si>
  <si>
    <t xml:space="preserve">PLACA DE INAUGURACAO ACO ESCOVADO 80 X 60 CM </t>
  </si>
  <si>
    <t>_____________________________________________________</t>
  </si>
  <si>
    <t>Leonardo Martins de Castro Teixeira</t>
  </si>
  <si>
    <t>Secretário Municipal de Obras</t>
  </si>
  <si>
    <t>Cozinha</t>
  </si>
  <si>
    <t>Altura</t>
  </si>
  <si>
    <t xml:space="preserve"> LIMPEZA FINAL DE OBRA - (OBRAS CIVIS)</t>
  </si>
  <si>
    <t xml:space="preserve"> m2</t>
  </si>
  <si>
    <t>REVESTIMENTO DE PISO</t>
  </si>
  <si>
    <t>Grupo de Serviço: 184 - Revestimento de Pisos</t>
  </si>
  <si>
    <t>Und.</t>
  </si>
  <si>
    <t>5.1</t>
  </si>
  <si>
    <t>6.2</t>
  </si>
  <si>
    <t>9.1</t>
  </si>
  <si>
    <t>9.2</t>
  </si>
  <si>
    <t>3.1</t>
  </si>
  <si>
    <t>3.2</t>
  </si>
  <si>
    <t>3.3</t>
  </si>
  <si>
    <t>3.4</t>
  </si>
  <si>
    <t>7.2</t>
  </si>
  <si>
    <t>LIMPEZA FINAL DE OBRA - (OBRAS CIVIS)</t>
  </si>
  <si>
    <t>REFORMA DO CENTRO COMUNITÁRIO</t>
  </si>
  <si>
    <t>OBRA: REFORMA DO CENTRO COMUNITÁRIO</t>
  </si>
  <si>
    <t>ÁREA: 290,00m²</t>
  </si>
  <si>
    <t>Desconto de vão de janelas</t>
  </si>
  <si>
    <t>Desconto de vão de portas</t>
  </si>
  <si>
    <t>Quantidade</t>
  </si>
  <si>
    <t>Desconto de vão livre</t>
  </si>
  <si>
    <t>Parte externa</t>
  </si>
  <si>
    <t>Sub-total</t>
  </si>
  <si>
    <t>Fachadas (área triangular)</t>
  </si>
  <si>
    <t>Paredes (11,60+19,70+11,60+19,70=62,60)</t>
  </si>
  <si>
    <t>Paredes (2,85+4,60+2,85+4,60=14,90)</t>
  </si>
  <si>
    <t>Deposito</t>
  </si>
  <si>
    <t>Paredes (2,90+1,70+2,90+1,70=9,20)</t>
  </si>
  <si>
    <t>Lavanderia</t>
  </si>
  <si>
    <t>Paredes (1,55+1,70+1,55+1,70= 6,50)</t>
  </si>
  <si>
    <t>Banheiro Feminino</t>
  </si>
  <si>
    <t>Banheiro Masculino</t>
  </si>
  <si>
    <t>Paredes (2,15+4,70+3,35+1,03+1,03+1,15+0,15+1,15+1,03+1,03+1,30+1,30+1,10+1,10+2,10+2,10+0,15+1,25+3,60=30,77)</t>
  </si>
  <si>
    <t>Paredes (1,25+2,10+0,15+2,10+1,10+1,10+1,30+1,30+1,03+1,03+1,15+1,15+0,15+3,35+4,70+4,70+2,15+0,15=29,96)</t>
  </si>
  <si>
    <t>Paredes (11,90+24,85+11,90+24,85=73,50)</t>
  </si>
  <si>
    <t xml:space="preserve">RETIRADA DE JANELAS OU PORTAIS C/ TRANSP. ATÉ CB. E CARGA </t>
  </si>
  <si>
    <t xml:space="preserve"> DEMOLIÇÃO DE REVEST. C/ AZULEJOS C/TRANSP.ATE CB. E CARGA </t>
  </si>
  <si>
    <t xml:space="preserve">DEMOLIÇAO DE VÁLVULA DE DESCARGA C/ TRANSP. ATÉ CB. E CARGA </t>
  </si>
  <si>
    <t>Salão</t>
  </si>
  <si>
    <t xml:space="preserve">Comprimento </t>
  </si>
  <si>
    <t>Largura</t>
  </si>
  <si>
    <t>Banheiro feminino</t>
  </si>
  <si>
    <t xml:space="preserve">TRANSPORTE DE ENTULHO EM CAÇAMBA ESTACIONÁRIA INCLUSO A CARGA MANUAL </t>
  </si>
  <si>
    <t>m3</t>
  </si>
  <si>
    <t>4,00*1,00*1,00</t>
  </si>
  <si>
    <t>REATOR ELETRÔNICO AFP 2 X 28W</t>
  </si>
  <si>
    <t xml:space="preserve"> LÂMPADA FLUORESCENTE TUBULAR T5 DE 28 W </t>
  </si>
  <si>
    <t xml:space="preserve">LUMINÁRIA TIPO ARANDELA DE USO EXTERNO BLINDADA COM GRADE ( PEQUENA ) - BASE E-27
</t>
  </si>
  <si>
    <t>Fachada frontal</t>
  </si>
  <si>
    <t>Fachada lateral</t>
  </si>
  <si>
    <t xml:space="preserve">LAMPADA COMPACTA ELETRÔNICA COM REATOR INTEGRADO 15 W </t>
  </si>
  <si>
    <t>Grupo de Serviço: 170 - Instalações hidro-sanitárias</t>
  </si>
  <si>
    <t xml:space="preserve"> INSTALAÇÕES HIDROSSANITÁRIAS</t>
  </si>
  <si>
    <t>L O U C A S E M E T A I S</t>
  </si>
  <si>
    <t>V A S O S A N I T A R I O / A C E S S O R I O S</t>
  </si>
  <si>
    <t>4.3</t>
  </si>
  <si>
    <t xml:space="preserve">TUBO DE LIGACAO PVC CROMADO 1.1/2" / ESPUDE - (ENTRADA) </t>
  </si>
  <si>
    <t>4.4</t>
  </si>
  <si>
    <t xml:space="preserve"> L A V A T O R I O / A C E S S O R I O S </t>
  </si>
  <si>
    <t>4.5</t>
  </si>
  <si>
    <t xml:space="preserve">TORNEIRA PARA LAVATÓRIO DIÂMETRO 1/2" </t>
  </si>
  <si>
    <t>4.6</t>
  </si>
  <si>
    <t>4.7</t>
  </si>
  <si>
    <t>4.8</t>
  </si>
  <si>
    <t xml:space="preserve"> VALVULA DE DESCARGA - CROMADA </t>
  </si>
  <si>
    <t>Banheiro masculino</t>
  </si>
  <si>
    <t>P I A / A C E S S O R I O S</t>
  </si>
  <si>
    <t>4.9</t>
  </si>
  <si>
    <t>R E G I S T R O S</t>
  </si>
  <si>
    <t>4.10</t>
  </si>
  <si>
    <t xml:space="preserve">REGISTRO DE PRESSAO C/CANOPLA CROMADA DIAM.3/4" </t>
  </si>
  <si>
    <t>Grupo de Serviço: 180 - Esquadrias metálicas</t>
  </si>
  <si>
    <t>ESQUADRIAS METÁLICAS - ( OBS.: OS VIDROS NÃO ESTÃO INCLUSOS NAS ESQUADRIAS )</t>
  </si>
  <si>
    <t xml:space="preserve">PORTA DE ABRIR VENEZ./VIDRO (2) FOLHAS PF-11 C/FERRAGENS </t>
  </si>
  <si>
    <t>Grupo de Serviço: 181 - Vidros</t>
  </si>
  <si>
    <t>VIDROS</t>
  </si>
  <si>
    <t xml:space="preserve"> VIDRO LISO 4 MM - COLOCADO </t>
  </si>
  <si>
    <t xml:space="preserve">VIDRO CANELADO - COLOCADO </t>
  </si>
  <si>
    <t>Salão - Porta</t>
  </si>
  <si>
    <t>Salão - Janela</t>
  </si>
  <si>
    <t>SINAPI</t>
  </si>
  <si>
    <t>M2</t>
  </si>
  <si>
    <t xml:space="preserve">DEMOLIÇÃO DE REVEST. C/ AZULEJOS C/TRANSP.ATE CB. E CARGA </t>
  </si>
  <si>
    <t xml:space="preserve"> PINT.ESMALTE S/ANTICOR 2 DEMAOS</t>
  </si>
  <si>
    <t>Janelas (2,00*2,00=4,00)</t>
  </si>
  <si>
    <t>Portas (2,00*1,00=2,00)</t>
  </si>
  <si>
    <t>Portal (2,10+1,00+2,10=5,20)</t>
  </si>
  <si>
    <t>Portas (2,00*0,80=1,60)</t>
  </si>
  <si>
    <t>Portal (2,10+0,80+2,10=5,00)</t>
  </si>
  <si>
    <t>Janelas(2,00*1,00=2,00)</t>
  </si>
  <si>
    <t xml:space="preserve"> m2 </t>
  </si>
  <si>
    <t>Portas (1,05*2,00=2,10)</t>
  </si>
  <si>
    <t>Portal (2,10+2,10+2,10=6,30)</t>
  </si>
  <si>
    <t>Janelas (2,00*1,50=3,00)</t>
  </si>
  <si>
    <t>Janelas(2,00*1,50=3,00)</t>
  </si>
  <si>
    <t>Portas (2,00*0,60=1,20)</t>
  </si>
  <si>
    <t>Portal (2,10+0,60+2,10=4,80)</t>
  </si>
  <si>
    <t>PINT.ESMALTE S/ANTICOR 2 DEMAOS</t>
  </si>
  <si>
    <t xml:space="preserve">LIMPEZA COM ÁCIDO MURIÁTICO (1:20), NEUTRALIZADO COM AMÔNIA (1:14) </t>
  </si>
  <si>
    <t>Piso</t>
  </si>
  <si>
    <t>Largura/altura</t>
  </si>
  <si>
    <t>8.1</t>
  </si>
  <si>
    <t>8.2</t>
  </si>
  <si>
    <t>9.3</t>
  </si>
  <si>
    <t>Tabela SINAPI 11/2017 - Desonerada</t>
  </si>
  <si>
    <t xml:space="preserve"> RODAPÉ DE CERÂMICA COM ARGAMASSA COLANTE</t>
  </si>
  <si>
    <t xml:space="preserve"> m </t>
  </si>
  <si>
    <t>m</t>
  </si>
  <si>
    <t>Rua Juraci Rosa Pontes, Quadra 5, Lote 2 - Santo Antônio do Rio Verde - Catalão-GO</t>
  </si>
  <si>
    <t xml:space="preserve">REVESTIMENTO CERÂMICO PARA PAREDES INTERNAS COM PLACAS TIPO ESMALTADA EXTRA DE DIMENSÕES 20X20 CM APLICADAS EM AMBIENTES DE ÁREA MAIOR QUE 5 M² A MEIA ALTURA DAS PAREDES. </t>
  </si>
  <si>
    <t xml:space="preserve">Salão </t>
  </si>
  <si>
    <t>OBRA: REFORMA  DA CASA DAS COSTUREIRAS</t>
  </si>
  <si>
    <t>ÁREA: 187,83m²</t>
  </si>
  <si>
    <t>DEMOLIÇÃO DE FORRO PVC ( SOMENTE O FORRO) C/ TRANSP. ATÉ CB. E CARGA</t>
  </si>
  <si>
    <t xml:space="preserve">TOMADA HEXAGONAL 2P + T - 10A - 250V </t>
  </si>
  <si>
    <t xml:space="preserve">F I L T R O / C H U V E I R O </t>
  </si>
  <si>
    <t xml:space="preserve">CHUVEIRO ELÉTRICO EM PVC COM BRAÇO METÁLICO </t>
  </si>
  <si>
    <t xml:space="preserve">Un </t>
  </si>
  <si>
    <t>Grupo de Serviço: 183 - Forros</t>
  </si>
  <si>
    <t xml:space="preserve"> FORROS</t>
  </si>
  <si>
    <t xml:space="preserve">FORRO DE PVC SEM ESTRUTURA DE METALON (COM REPINTURA DA ESTRUTURA COM TINTA ALQUÍDICA D.F.)
</t>
  </si>
  <si>
    <t xml:space="preserve">PINTURA ESMALTE 1 DEMÃO EM PAREDE SEM SELADOR </t>
  </si>
  <si>
    <t>7.3</t>
  </si>
  <si>
    <t>8.3</t>
  </si>
  <si>
    <t xml:space="preserve">DESCRIÇÃO </t>
  </si>
  <si>
    <t>UNID.</t>
  </si>
  <si>
    <t>MÃO DE OBRA</t>
  </si>
  <si>
    <t>GRUPO DE SERVIÇO: 164- SERVIÇOS PRELIMINARES</t>
  </si>
  <si>
    <t>DEMOLIÇÃO DE FORRO PVC INCLUSIVE ESTRUTURA DE SUSTENTAÇÃO C/ TRANSP. ATÉ CV. E CARGA</t>
  </si>
  <si>
    <t>M²</t>
  </si>
  <si>
    <t>GRUPO DE SERVIÇO: 165- TRANSPORTES</t>
  </si>
  <si>
    <t>TRANSPORTE DE ENTULHO EM CAÇAMBA ESTACIONÁRIA SEM CARGA</t>
  </si>
  <si>
    <t>GRUPO DE SERVIÇO: 170 - INSTALAÇÕES HIDRO-SANITÁRIAS</t>
  </si>
  <si>
    <t>VASO SANITÁRIO/ACESSÓRIOS</t>
  </si>
  <si>
    <t>ASSENTO PARA VASO SANITÁRIO</t>
  </si>
  <si>
    <t>LAVATÓRIO/ACESSÓRIOS</t>
  </si>
  <si>
    <t>SIFÃO P/ LAVATÓRIO PVC DIAM.1"X1.1/2"</t>
  </si>
  <si>
    <t>M</t>
  </si>
  <si>
    <t>GRUPO DE SERVIÇO: 183 - FORROS</t>
  </si>
  <si>
    <t xml:space="preserve">FORRO  </t>
  </si>
  <si>
    <t>FORRO DE PVC COM ESTRUTURA EM METALON PINTADA COM TINTA ALQUÍDICA D.F.</t>
  </si>
  <si>
    <t>GRUPO DE SERVIÇO: 188 - PINTURA</t>
  </si>
  <si>
    <t>REMOÇÃO DE PINTURA ANTIGA A LÁTEX</t>
  </si>
  <si>
    <t>PINTURA LÁTEX ACRÍLICO 2 DEMÃOS</t>
  </si>
  <si>
    <t>EMASSAMENTO COM MASSA PVA UMA DEMÃO</t>
  </si>
  <si>
    <t>PINTURA PVA LÁTEX 2 DEMÃOS SEM SELADOR</t>
  </si>
  <si>
    <t>PINT. ESMALTE 2 DEM. ESQ.FERRO (SEM FUNDO ANTICOR.)</t>
  </si>
  <si>
    <t>GRUPO DE SERVIÇO: 189 - DIVERSOS</t>
  </si>
  <si>
    <t>LIMPEZA COM ÁCIDO MURIÁTICO (1:20), NEUTRALIZADO COM AMÔNIA (1:14)</t>
  </si>
  <si>
    <t>ÁREA: 42,66m²</t>
  </si>
  <si>
    <t>OBRA: REFORMA DA BIBLIOTECA DISTRITAL SANTO ANTÔNIO DO RIO VERDE</t>
  </si>
  <si>
    <t xml:space="preserve"> DEMOLIÇÃO DE FORRO PVC ( SOMENTE O FORRO) C/ TRANSP. ATÉ CB. E CARGA</t>
  </si>
  <si>
    <t>Sala</t>
  </si>
  <si>
    <t>3.1.1</t>
  </si>
  <si>
    <t>3.1.2</t>
  </si>
  <si>
    <t>3.2.1</t>
  </si>
  <si>
    <t>Varanda</t>
  </si>
  <si>
    <t>3.3.1</t>
  </si>
  <si>
    <t>4.3.1</t>
  </si>
  <si>
    <t xml:space="preserve">SIFAO P/LAVATORIO PVC CROMADO DIAM.1"X1.1/2" </t>
  </si>
  <si>
    <t>4.8.1</t>
  </si>
  <si>
    <t>5.1.1</t>
  </si>
  <si>
    <t>Janela</t>
  </si>
  <si>
    <t>Porta</t>
  </si>
  <si>
    <t>6.1.1</t>
  </si>
  <si>
    <t>6.1.2</t>
  </si>
  <si>
    <t>6.1.3</t>
  </si>
  <si>
    <t>6.1.4</t>
  </si>
  <si>
    <t>6.1.5</t>
  </si>
  <si>
    <t>7.1.1</t>
  </si>
  <si>
    <t>Paredes (16,60+7,18+16,60+7,18=47,56)</t>
  </si>
  <si>
    <t>7.1.2</t>
  </si>
  <si>
    <t>Paredes da entrada do banheiro (1,30+1,30+1,45+1,45=5,50)</t>
  </si>
  <si>
    <t>Paredes do banheiro (1,45+1,45+1,95+1,95=6,80)</t>
  </si>
  <si>
    <t>7.1.3</t>
  </si>
  <si>
    <t>Paredes da entrada do banheiro (1,30+1,30+1,50+1,50=5,60)</t>
  </si>
  <si>
    <t>Paredes do banheiro (1,50+1,50+1,95+1,95=6,90)</t>
  </si>
  <si>
    <t>7.1.4</t>
  </si>
  <si>
    <t>Paredes (1,78+3,40+3,40=8,58)</t>
  </si>
  <si>
    <t>7.1.5</t>
  </si>
  <si>
    <t>Paredes (3,25+3,25+2,00+2,00=10,50)</t>
  </si>
  <si>
    <t>7.1.6</t>
  </si>
  <si>
    <t>Platibanda</t>
  </si>
  <si>
    <t>Paredes (0,15+0,15+0,80+0,80+21,10+21,10+7,48+7,48= 59,06)</t>
  </si>
  <si>
    <t>7.2.1</t>
  </si>
  <si>
    <t>7.2.2</t>
  </si>
  <si>
    <t>7.2.3</t>
  </si>
  <si>
    <t>7.2.4</t>
  </si>
  <si>
    <t>7.2.5</t>
  </si>
  <si>
    <t>7.3.1</t>
  </si>
  <si>
    <t>7.3.2</t>
  </si>
  <si>
    <t>Janelas (2,00*1,00=2,00)</t>
  </si>
  <si>
    <t>7.3.3</t>
  </si>
  <si>
    <t>7.3.4</t>
  </si>
  <si>
    <t>7.3.5</t>
  </si>
  <si>
    <t>8.2.1</t>
  </si>
  <si>
    <t>8.2.2</t>
  </si>
  <si>
    <t>8.2.3</t>
  </si>
  <si>
    <t>8.2.4</t>
  </si>
  <si>
    <t>Paredes (1,50+0,70+1,95+1,95= 6,10)</t>
  </si>
  <si>
    <t>8.2.5</t>
  </si>
  <si>
    <t>Paredes (1,95+1,95+1,45+0,65=6,00)</t>
  </si>
  <si>
    <t>8.2.6</t>
  </si>
  <si>
    <t>DEMOLIÇÃO DE FORRO PVC INCLUSIVE ESTRUTURA DE SUSTENTAÇÃO C/ TRANSP. ATÉ CB. E CARGA</t>
  </si>
  <si>
    <t>Unid.</t>
  </si>
  <si>
    <t>FORROS</t>
  </si>
  <si>
    <t>Altura média</t>
  </si>
  <si>
    <t>Parede de entrada W.C.s</t>
  </si>
  <si>
    <t>Desconto porta de entrada</t>
  </si>
  <si>
    <t>Desconto janela W.C.s</t>
  </si>
  <si>
    <t>Desconto janela fundo</t>
  </si>
  <si>
    <t>Desconto vão ar condicionado</t>
  </si>
  <si>
    <t>5,00*6,10+2,50*0,45 = 31,63 m²</t>
  </si>
  <si>
    <t>W.C. masculino</t>
  </si>
  <si>
    <t>W.C. feminino</t>
  </si>
  <si>
    <t>Teto</t>
  </si>
  <si>
    <t>W.C. Feminino</t>
  </si>
  <si>
    <t>Muro fachada (2*(1,50+3) = 9,00)</t>
  </si>
  <si>
    <t>Fachada externa ((8,00+5,40+8,00+0,15+2,50+1,00+2,50+1,15) = 28,70)</t>
  </si>
  <si>
    <t>Detalhe arquitetônico semi círculo fachada frontal</t>
  </si>
  <si>
    <t>(pi*2,50²/4)/2 = 2,45</t>
  </si>
  <si>
    <t xml:space="preserve">Teto </t>
  </si>
  <si>
    <t xml:space="preserve"> W.C. Masculino</t>
  </si>
  <si>
    <t>Quantiodade</t>
  </si>
  <si>
    <t>Paredes(2,5+6,55+5+6,10+2,5+0,45=23,10)</t>
  </si>
  <si>
    <t>Paredes (1,25+1,1+1,25+1,1= 4,7)</t>
  </si>
  <si>
    <t>Porta (2*0,63=1,26)</t>
  </si>
  <si>
    <t>Portal (2,1+0,6+2,1=4,80)</t>
  </si>
  <si>
    <t xml:space="preserve">5,00*6,10+2,50*0,45 </t>
  </si>
  <si>
    <t>Desconto porta W.C. masculino</t>
  </si>
  <si>
    <t>Desconto porta W.C. feminino</t>
  </si>
  <si>
    <t>Desconto janela W.C. masculino</t>
  </si>
  <si>
    <t>Desconto janela W.C. feminino</t>
  </si>
  <si>
    <t>Porta W.C. feminino</t>
  </si>
  <si>
    <t>Cozinha (4,60+2,85+4,60+2,85=14,90)</t>
  </si>
  <si>
    <t>Desconto de vão de porta</t>
  </si>
  <si>
    <t>Desconto de vão de janela</t>
  </si>
  <si>
    <t>1.4</t>
  </si>
  <si>
    <t>DEM.PISO CERAM.SOBRE LASTRO CONC.C/TR.CB.E CARGA</t>
  </si>
  <si>
    <t>Salão (11,60+19,70+11,60+19,70=62,60)</t>
  </si>
  <si>
    <t>Deconto de vão de porta</t>
  </si>
  <si>
    <t>REVESTIMENTO CERÂMICO PARA PAREDES INTERNAS COM PLACAS TIPO ESMALTADA EXTRA DE DIMENSÕES 20X20 CM APLICADAS EM AMBIENTES DE ÁREA MAIOR QUE 5 M² A MEIA ALTURA DAS PAREDES.</t>
  </si>
  <si>
    <t>Paredes (1,25+1,1+1,25+1,1= 4,70)</t>
  </si>
  <si>
    <t>Muro</t>
  </si>
  <si>
    <t>Frontal</t>
  </si>
  <si>
    <t>Divisa</t>
  </si>
  <si>
    <t>Lateral</t>
  </si>
  <si>
    <t xml:space="preserve">ASSENTO PARA VASO SANITÁRIO </t>
  </si>
  <si>
    <t xml:space="preserve">Un  </t>
  </si>
  <si>
    <t xml:space="preserve">PORTA PAPEL HIGIENICO EM INOX </t>
  </si>
  <si>
    <t>4.7.1</t>
  </si>
  <si>
    <t>4.10.1</t>
  </si>
  <si>
    <t>4.11</t>
  </si>
  <si>
    <t>4.12</t>
  </si>
  <si>
    <t xml:space="preserve">BARRACÃO DE OBRAS PADRÃO AGETOP/2014 ( BLOCOS,COBERTURAS,PASSARELAS E MÓVEIS), SEM ALOJAMENTO E LAVANDERIA , COM PINTURA, EM CONSONÂNCIA COM AS
NR's, EM ESPECIAL A NR-18, INCLUSO INSTALAÇÕES ELÉTRICAS E HIDROSSANITÁRIAS - (COM REAPROVEITAMENTO 1 VEZ ).
</t>
  </si>
  <si>
    <t xml:space="preserve">PLACA DE OBRA EM CHAPA METÁLICA 26 COM PINTURA, AFIXADA EM CAVALETES DE MADEIRA DE LEI (VIGOTAS 6X12CM) - PADRÃO AGETOP
</t>
  </si>
  <si>
    <t>1,50*2,00</t>
  </si>
  <si>
    <t xml:space="preserve"> MOBILIZAÇÃO DO CANTEIRO DE OBRAS - INCLUSIVE CARGA E DESCARGA E A HORA IMPRODUTIVA DO CAMINHÃO - ( EXCLUSO O TRANSPORTE )
</t>
  </si>
  <si>
    <t xml:space="preserve">un </t>
  </si>
  <si>
    <t xml:space="preserve">DESMOBILIZAÇÃO DO CANTEIRO DE OBRAS - INCLUSIVE CARGA E DESCARGA E A HORA IMPRODUTIVA DO CAMINHÃO - ( EXCLUSO O TRANSPORTE )
</t>
  </si>
  <si>
    <t>und.</t>
  </si>
  <si>
    <t>Grupo de Serviço: 187 - ADMINISTRAÇÃO - MENSALISTAS</t>
  </si>
  <si>
    <t>ADMINISTRAÇÃO - MENSALISTAS</t>
  </si>
  <si>
    <t xml:space="preserve">H </t>
  </si>
  <si>
    <t xml:space="preserve">VIGIA DE OBRAS - (NOTURNO E NO SÁBADO/DOMINGO DIURNO) - O.C. </t>
  </si>
  <si>
    <t xml:space="preserve">CAFE DA MANHA </t>
  </si>
  <si>
    <t xml:space="preserve">RE </t>
  </si>
  <si>
    <t xml:space="preserve">CANTINA - (OBRAS CIVIS) </t>
  </si>
  <si>
    <t xml:space="preserve">BANCO DE CONCRETO POLIDO BASE EM ALVENARIA REBOCADA E PINTADA - PADRÃO AGETOP 2015
</t>
  </si>
  <si>
    <t xml:space="preserve">m </t>
  </si>
  <si>
    <t>GRUPO DE SERVIÇO: 178 - COBERTURAS</t>
  </si>
  <si>
    <t xml:space="preserve"> RUFO DE CHAPA GALVANIZADA </t>
  </si>
  <si>
    <t xml:space="preserve">CALHA DE CHAPA GALVANIZADA </t>
  </si>
  <si>
    <t xml:space="preserve">COBERTURA COM TELHA PLAN RESINADA COR VERMELHA </t>
  </si>
  <si>
    <t>5,40+5,40</t>
  </si>
  <si>
    <t>6,90+6,90</t>
  </si>
  <si>
    <t>Quarto</t>
  </si>
  <si>
    <t>W.C. 1</t>
  </si>
  <si>
    <t>W.C. 2</t>
  </si>
  <si>
    <t>COBERTURAS</t>
  </si>
  <si>
    <t>Grupo de Serviço: 187 - Administração - Mensalistas</t>
  </si>
  <si>
    <t>2.2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</si>
  <si>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</si>
  <si>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</si>
  <si>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</si>
  <si>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</si>
  <si>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</si>
  <si>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</si>
  <si>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</si>
  <si>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</si>
  <si>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9.2.1</t>
  </si>
  <si>
    <t>9.2.2</t>
  </si>
  <si>
    <t>9.2.3</t>
  </si>
  <si>
    <t>9.2.4</t>
  </si>
  <si>
    <t>9.2.5</t>
  </si>
  <si>
    <t>9.2.6</t>
  </si>
  <si>
    <t>1.1.1</t>
  </si>
  <si>
    <t>1.1.2</t>
  </si>
  <si>
    <t>1.1.3</t>
  </si>
  <si>
    <t>1.1.4</t>
  </si>
  <si>
    <t>1.1.5</t>
  </si>
  <si>
    <t>7.1.7</t>
  </si>
  <si>
    <t>4.1.1</t>
  </si>
  <si>
    <t>5.2</t>
  </si>
  <si>
    <t>5.3</t>
  </si>
  <si>
    <t>7.4</t>
  </si>
  <si>
    <t>7.5</t>
  </si>
  <si>
    <t>7.4.1</t>
  </si>
  <si>
    <t>7.4.2</t>
  </si>
  <si>
    <t>7.4.3</t>
  </si>
  <si>
    <t>7.5.1</t>
  </si>
  <si>
    <t>7.5.2</t>
  </si>
  <si>
    <t>Finais de semana</t>
  </si>
  <si>
    <t>Mês</t>
  </si>
  <si>
    <t>Semanas</t>
  </si>
  <si>
    <t>Dias</t>
  </si>
  <si>
    <t>Horas</t>
  </si>
  <si>
    <t>Semana-horas noturnas</t>
  </si>
  <si>
    <t xml:space="preserve">73847/001 </t>
  </si>
  <si>
    <t xml:space="preserve">ALUGUEL CONTAINER/ESCRIT INCL INST ELET LARG=2,20 COMP=6,20M 
ALT=2,50M CHAPA ACO C/NERV TRAPEZ FORRO C/ISOL  TERMO/ACUSTICO CHASSIS REFORC PISO COMPENS NAVAL EXC  TRANSP/CARGA/DESCARGA
</t>
  </si>
  <si>
    <t>mês</t>
  </si>
  <si>
    <t>Semana</t>
  </si>
  <si>
    <t xml:space="preserve">Dias </t>
  </si>
  <si>
    <t>Trabalhadores</t>
  </si>
  <si>
    <t>GRUPO DE SERVIÇO: 164- Serviços preliminares</t>
  </si>
  <si>
    <t>GRUPO DE SERVIÇO: 165- Transportes</t>
  </si>
  <si>
    <t>GRUPO DE SERVIÇO: 170 - Instalações hidro-sanitárias</t>
  </si>
  <si>
    <t>GRUPO DE SERVIÇO: 178 - Coberturas</t>
  </si>
  <si>
    <t>GRUPO DE SERVIÇO: 183 - Forros</t>
  </si>
  <si>
    <t>GRUPO DE SERVIÇO: 188 - Pintura</t>
  </si>
  <si>
    <t>GRUPO DE SERVIÇO: 189 - Diversos</t>
  </si>
  <si>
    <t>Paulo Cesar Ferreira Júnior</t>
  </si>
  <si>
    <t>Engenheiro Responsável CREA: 1015638210D-GO</t>
  </si>
  <si>
    <t xml:space="preserve">tkm </t>
  </si>
  <si>
    <t xml:space="preserve">TRANSPORTE DE MATERIAIS/EQUIPAMENTOS/OUTROS ( INCLUSIVE OS DA MOBILIZAÇÃO E DESMOBILIZAÇÃO ) - CAMINHÃO CARROCERIA MADEIRA 15 T ( INCLUSO NO VALOR O RETORNO )
</t>
  </si>
  <si>
    <t>2.3</t>
  </si>
  <si>
    <t xml:space="preserve"> SIFAO PVC P/PIA 1.1/2" X 2"</t>
  </si>
  <si>
    <t xml:space="preserve"> Um</t>
  </si>
  <si>
    <t>8.3.1</t>
  </si>
  <si>
    <t>8.3.2</t>
  </si>
  <si>
    <t>8.3.3</t>
  </si>
  <si>
    <t>8.3.4</t>
  </si>
  <si>
    <t>8.3.5</t>
  </si>
  <si>
    <t>8.3.6</t>
  </si>
  <si>
    <t xml:space="preserve">DEMOLIÇÃO CALHAS/ RUFOS EM CHAPA C/TR.AT.C.B.E CARGA </t>
  </si>
  <si>
    <t>1.2.1</t>
  </si>
  <si>
    <t>1.2.2</t>
  </si>
  <si>
    <t>Rufo (5,40+5,40=10,80)</t>
  </si>
  <si>
    <t>Calha (6,90+6,90=13,80)</t>
  </si>
  <si>
    <t>Desconto porta W.C. 1</t>
  </si>
  <si>
    <t>Desconto porta W.C. 2</t>
  </si>
  <si>
    <t>25 DE JANEIRO DE 2018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</si>
</sst>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\ #,##0.00"/>
    <numFmt numFmtId="166" formatCode="&quot;R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Lucida Sans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  "/>
    </font>
    <font>
      <b/>
      <sz val="10"/>
      <color theme="1"/>
      <name val="Calibri 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4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left"/>
    </xf>
    <xf numFmtId="43" fontId="3" fillId="0" borderId="8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3" fontId="3" fillId="0" borderId="25" xfId="1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3" fontId="3" fillId="0" borderId="37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3" fontId="3" fillId="0" borderId="29" xfId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center" wrapText="1"/>
    </xf>
    <xf numFmtId="43" fontId="3" fillId="0" borderId="4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2" fillId="0" borderId="47" xfId="0" applyFont="1" applyBorder="1" applyAlignment="1">
      <alignment horizontal="center" vertical="center" wrapText="1"/>
    </xf>
    <xf numFmtId="43" fontId="3" fillId="0" borderId="30" xfId="1" applyFont="1" applyBorder="1" applyAlignment="1">
      <alignment horizontal="center" vertical="top"/>
    </xf>
    <xf numFmtId="43" fontId="3" fillId="0" borderId="4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3" fillId="0" borderId="48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left" wrapText="1"/>
    </xf>
    <xf numFmtId="2" fontId="3" fillId="0" borderId="19" xfId="0" applyNumberFormat="1" applyFont="1" applyBorder="1" applyAlignment="1">
      <alignment horizontal="center" wrapText="1"/>
    </xf>
    <xf numFmtId="166" fontId="3" fillId="0" borderId="19" xfId="0" applyNumberFormat="1" applyFont="1" applyBorder="1" applyAlignment="1">
      <alignment horizontal="center" wrapText="1"/>
    </xf>
    <xf numFmtId="166" fontId="3" fillId="0" borderId="19" xfId="2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2" fontId="4" fillId="0" borderId="23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/>
    </xf>
    <xf numFmtId="0" fontId="2" fillId="0" borderId="48" xfId="0" applyNumberFormat="1" applyFont="1" applyFill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0" fontId="2" fillId="0" borderId="51" xfId="0" applyNumberFormat="1" applyFont="1" applyBorder="1" applyAlignment="1">
      <alignment horizontal="center" vertical="center" wrapText="1"/>
    </xf>
    <xf numFmtId="166" fontId="2" fillId="0" borderId="51" xfId="0" applyNumberFormat="1" applyFont="1" applyBorder="1" applyAlignment="1">
      <alignment horizontal="center" vertical="center" wrapText="1"/>
    </xf>
    <xf numFmtId="166" fontId="2" fillId="0" borderId="51" xfId="2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6" fontId="3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6" fontId="2" fillId="0" borderId="25" xfId="2" applyNumberFormat="1" applyFont="1" applyBorder="1" applyAlignment="1">
      <alignment horizontal="center" vertical="center" wrapText="1"/>
    </xf>
    <xf numFmtId="0" fontId="4" fillId="0" borderId="25" xfId="0" applyFont="1" applyBorder="1"/>
    <xf numFmtId="2" fontId="4" fillId="0" borderId="25" xfId="0" applyNumberFormat="1" applyFont="1" applyBorder="1" applyAlignment="1">
      <alignment horizontal="center"/>
    </xf>
    <xf numFmtId="166" fontId="2" fillId="0" borderId="44" xfId="2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2" fontId="4" fillId="0" borderId="2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2" fillId="0" borderId="45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166" fontId="2" fillId="0" borderId="28" xfId="0" applyNumberFormat="1" applyFont="1" applyBorder="1" applyAlignment="1">
      <alignment horizontal="center" vertical="center" wrapText="1"/>
    </xf>
    <xf numFmtId="166" fontId="8" fillId="0" borderId="19" xfId="2" applyNumberFormat="1" applyFont="1" applyBorder="1" applyAlignment="1">
      <alignment horizontal="center" vertical="center" wrapText="1"/>
    </xf>
    <xf numFmtId="166" fontId="8" fillId="0" borderId="2" xfId="2" applyNumberFormat="1" applyFont="1" applyBorder="1" applyAlignment="1">
      <alignment horizontal="center" vertical="center" wrapText="1"/>
    </xf>
    <xf numFmtId="166" fontId="8" fillId="0" borderId="2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56" xfId="0" applyFont="1" applyBorder="1" applyAlignment="1"/>
    <xf numFmtId="0" fontId="4" fillId="0" borderId="10" xfId="0" applyFont="1" applyBorder="1" applyAlignment="1"/>
    <xf numFmtId="0" fontId="7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2" fontId="4" fillId="0" borderId="2" xfId="0" applyNumberFormat="1" applyFont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2" fontId="4" fillId="0" borderId="21" xfId="0" applyNumberFormat="1" applyFont="1" applyBorder="1"/>
    <xf numFmtId="0" fontId="2" fillId="0" borderId="19" xfId="0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2" xfId="1" applyNumberFormat="1" applyFont="1" applyFill="1" applyBorder="1" applyAlignment="1">
      <alignment horizontal="center"/>
    </xf>
    <xf numFmtId="2" fontId="4" fillId="0" borderId="23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18" xfId="0" applyNumberFormat="1" applyFont="1" applyBorder="1" applyAlignment="1">
      <alignment horizontal="center" vertical="center"/>
    </xf>
    <xf numFmtId="43" fontId="3" fillId="0" borderId="25" xfId="1" applyFont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7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166" fontId="2" fillId="0" borderId="2" xfId="2" applyNumberFormat="1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66" fontId="2" fillId="0" borderId="19" xfId="2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top" wrapText="1"/>
    </xf>
    <xf numFmtId="166" fontId="2" fillId="0" borderId="25" xfId="2" applyNumberFormat="1" applyFont="1" applyFill="1" applyBorder="1" applyAlignment="1">
      <alignment horizontal="center" vertical="center" wrapText="1"/>
    </xf>
    <xf numFmtId="166" fontId="2" fillId="0" borderId="58" xfId="2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2" fillId="0" borderId="5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166" fontId="12" fillId="0" borderId="19" xfId="0" applyNumberFormat="1" applyFont="1" applyBorder="1" applyAlignment="1">
      <alignment horizontal="center"/>
    </xf>
    <xf numFmtId="0" fontId="9" fillId="0" borderId="0" xfId="0" applyFont="1"/>
    <xf numFmtId="0" fontId="2" fillId="0" borderId="48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5" xfId="0" applyFont="1" applyBorder="1" applyAlignment="1">
      <alignment horizontal="left" vertical="center" wrapText="1"/>
    </xf>
    <xf numFmtId="2" fontId="3" fillId="0" borderId="23" xfId="0" applyNumberFormat="1" applyFont="1" applyBorder="1" applyAlignment="1">
      <alignment horizont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28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3" fillId="0" borderId="53" xfId="0" applyFont="1" applyBorder="1" applyAlignment="1">
      <alignment horizontal="right" wrapText="1"/>
    </xf>
    <xf numFmtId="0" fontId="3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2" fontId="3" fillId="0" borderId="7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19" xfId="0" quotePrefix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3" xfId="0" applyFont="1" applyBorder="1" applyAlignment="1">
      <alignment horizontal="right"/>
    </xf>
    <xf numFmtId="0" fontId="4" fillId="0" borderId="25" xfId="0" applyFont="1" applyBorder="1" applyAlignment="1">
      <alignment horizontal="center"/>
    </xf>
    <xf numFmtId="2" fontId="4" fillId="0" borderId="25" xfId="1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2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43" fontId="3" fillId="0" borderId="40" xfId="1" applyFont="1" applyBorder="1" applyAlignment="1">
      <alignment horizontal="left"/>
    </xf>
    <xf numFmtId="2" fontId="3" fillId="0" borderId="8" xfId="1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43" fontId="3" fillId="0" borderId="7" xfId="1" applyFont="1" applyBorder="1" applyAlignment="1">
      <alignment horizontal="center"/>
    </xf>
    <xf numFmtId="2" fontId="3" fillId="0" borderId="2" xfId="1" applyNumberFormat="1" applyFont="1" applyBorder="1" applyAlignment="1"/>
    <xf numFmtId="0" fontId="3" fillId="0" borderId="2" xfId="1" applyNumberFormat="1" applyFont="1" applyBorder="1" applyAlignment="1">
      <alignment horizontal="center"/>
    </xf>
    <xf numFmtId="43" fontId="3" fillId="0" borderId="2" xfId="1" applyFont="1" applyBorder="1" applyAlignment="1">
      <alignment horizontal="right"/>
    </xf>
    <xf numFmtId="43" fontId="2" fillId="0" borderId="2" xfId="1" applyFont="1" applyBorder="1" applyAlignment="1"/>
    <xf numFmtId="0" fontId="3" fillId="0" borderId="2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/>
    <xf numFmtId="0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/>
    <xf numFmtId="2" fontId="2" fillId="0" borderId="25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right"/>
    </xf>
    <xf numFmtId="2" fontId="3" fillId="0" borderId="2" xfId="1" applyNumberFormat="1" applyFont="1" applyBorder="1" applyAlignment="1">
      <alignment horizontal="left"/>
    </xf>
    <xf numFmtId="2" fontId="4" fillId="0" borderId="2" xfId="0" applyNumberFormat="1" applyFont="1" applyBorder="1" applyAlignment="1"/>
    <xf numFmtId="2" fontId="4" fillId="0" borderId="4" xfId="0" applyNumberFormat="1" applyFont="1" applyBorder="1"/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166" fontId="12" fillId="0" borderId="25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12" fillId="0" borderId="2" xfId="2" applyNumberFormat="1" applyFont="1" applyBorder="1" applyAlignment="1">
      <alignment horizontal="center"/>
    </xf>
    <xf numFmtId="166" fontId="12" fillId="0" borderId="37" xfId="2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2" fillId="0" borderId="52" xfId="0" applyNumberFormat="1" applyFont="1" applyBorder="1" applyAlignment="1">
      <alignment horizontal="center" vertical="center" wrapText="1"/>
    </xf>
    <xf numFmtId="166" fontId="8" fillId="0" borderId="21" xfId="0" applyNumberFormat="1" applyFont="1" applyFill="1" applyBorder="1" applyAlignment="1">
      <alignment horizontal="center" wrapText="1"/>
    </xf>
    <xf numFmtId="166" fontId="2" fillId="0" borderId="22" xfId="0" applyNumberFormat="1" applyFont="1" applyBorder="1" applyAlignment="1">
      <alignment horizontal="center" vertical="center" wrapText="1"/>
    </xf>
    <xf numFmtId="166" fontId="2" fillId="0" borderId="21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166" fontId="3" fillId="0" borderId="23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left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166" fontId="4" fillId="0" borderId="21" xfId="0" applyNumberFormat="1" applyFont="1" applyFill="1" applyBorder="1" applyAlignment="1">
      <alignment horizontal="center"/>
    </xf>
    <xf numFmtId="166" fontId="2" fillId="0" borderId="20" xfId="0" applyNumberFormat="1" applyFont="1" applyBorder="1" applyAlignment="1">
      <alignment horizontal="center" vertical="center" wrapText="1"/>
    </xf>
    <xf numFmtId="166" fontId="2" fillId="0" borderId="21" xfId="0" applyNumberFormat="1" applyFont="1" applyFill="1" applyBorder="1" applyAlignment="1">
      <alignment horizontal="center" wrapText="1"/>
    </xf>
    <xf numFmtId="166" fontId="12" fillId="0" borderId="21" xfId="0" applyNumberFormat="1" applyFont="1" applyBorder="1" applyAlignment="1">
      <alignment horizontal="center"/>
    </xf>
    <xf numFmtId="166" fontId="12" fillId="0" borderId="20" xfId="0" applyNumberFormat="1" applyFont="1" applyBorder="1" applyAlignment="1">
      <alignment horizontal="center"/>
    </xf>
    <xf numFmtId="166" fontId="11" fillId="0" borderId="23" xfId="2" applyNumberFormat="1" applyFont="1" applyBorder="1" applyAlignment="1">
      <alignment horizontal="center"/>
    </xf>
    <xf numFmtId="166" fontId="11" fillId="0" borderId="23" xfId="0" applyNumberFormat="1" applyFont="1" applyBorder="1" applyAlignment="1">
      <alignment horizontal="center"/>
    </xf>
    <xf numFmtId="166" fontId="12" fillId="0" borderId="23" xfId="0" applyNumberFormat="1" applyFont="1" applyBorder="1" applyAlignment="1">
      <alignment horizontal="center"/>
    </xf>
    <xf numFmtId="166" fontId="12" fillId="0" borderId="23" xfId="2" applyNumberFormat="1" applyFont="1" applyBorder="1" applyAlignment="1">
      <alignment horizontal="center"/>
    </xf>
    <xf numFmtId="166" fontId="12" fillId="0" borderId="38" xfId="0" applyNumberFormat="1" applyFont="1" applyBorder="1" applyAlignment="1">
      <alignment horizontal="center"/>
    </xf>
    <xf numFmtId="166" fontId="4" fillId="0" borderId="0" xfId="0" applyNumberFormat="1" applyFont="1"/>
    <xf numFmtId="166" fontId="4" fillId="0" borderId="24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166" fontId="3" fillId="0" borderId="20" xfId="0" applyNumberFormat="1" applyFont="1" applyFill="1" applyBorder="1" applyAlignment="1">
      <alignment horizontal="center" vertical="center" wrapText="1"/>
    </xf>
    <xf numFmtId="166" fontId="3" fillId="0" borderId="20" xfId="0" applyNumberFormat="1" applyFont="1" applyFill="1" applyBorder="1" applyAlignment="1">
      <alignment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/>
    </xf>
    <xf numFmtId="2" fontId="3" fillId="0" borderId="25" xfId="1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Fill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12" fillId="0" borderId="19" xfId="0" applyFont="1" applyFill="1" applyBorder="1" applyAlignment="1">
      <alignment horizontal="left"/>
    </xf>
    <xf numFmtId="0" fontId="11" fillId="0" borderId="19" xfId="0" applyFont="1" applyBorder="1" applyAlignment="1">
      <alignment horizontal="center"/>
    </xf>
    <xf numFmtId="2" fontId="11" fillId="0" borderId="44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42" xfId="0" applyNumberFormat="1" applyFont="1" applyFill="1" applyBorder="1" applyAlignment="1">
      <alignment vertical="center" wrapText="1"/>
    </xf>
    <xf numFmtId="0" fontId="3" fillId="0" borderId="53" xfId="0" applyFont="1" applyBorder="1" applyAlignment="1">
      <alignment horizontal="right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center"/>
    </xf>
    <xf numFmtId="43" fontId="3" fillId="0" borderId="19" xfId="1" applyFont="1" applyBorder="1" applyAlignment="1">
      <alignment horizont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vertical="center" wrapText="1"/>
    </xf>
    <xf numFmtId="0" fontId="4" fillId="0" borderId="0" xfId="0" applyFont="1" applyBorder="1"/>
    <xf numFmtId="166" fontId="4" fillId="0" borderId="0" xfId="0" applyNumberFormat="1" applyFont="1" applyBorder="1"/>
    <xf numFmtId="43" fontId="3" fillId="0" borderId="44" xfId="1" applyFont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166" fontId="11" fillId="0" borderId="21" xfId="2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2" fontId="3" fillId="0" borderId="7" xfId="1" applyNumberFormat="1" applyFont="1" applyBorder="1" applyAlignment="1">
      <alignment horizontal="center"/>
    </xf>
    <xf numFmtId="2" fontId="3" fillId="0" borderId="8" xfId="1" applyNumberFormat="1" applyFont="1" applyBorder="1" applyAlignment="1">
      <alignment horizontal="center"/>
    </xf>
    <xf numFmtId="43" fontId="2" fillId="0" borderId="29" xfId="1" applyFont="1" applyFill="1" applyBorder="1" applyAlignment="1">
      <alignment horizontal="center"/>
    </xf>
    <xf numFmtId="43" fontId="2" fillId="0" borderId="43" xfId="1" applyFont="1" applyFill="1" applyBorder="1" applyAlignment="1">
      <alignment horizontal="center"/>
    </xf>
    <xf numFmtId="43" fontId="2" fillId="0" borderId="30" xfId="1" applyFont="1" applyFill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7" xfId="1" applyNumberFormat="1" applyFont="1" applyBorder="1" applyAlignment="1">
      <alignment horizontal="center"/>
    </xf>
    <xf numFmtId="0" fontId="3" fillId="0" borderId="8" xfId="1" applyNumberFormat="1" applyFont="1" applyBorder="1" applyAlignment="1">
      <alignment horizontal="center"/>
    </xf>
    <xf numFmtId="43" fontId="2" fillId="0" borderId="25" xfId="1" applyFont="1" applyBorder="1" applyAlignment="1">
      <alignment horizontal="right"/>
    </xf>
    <xf numFmtId="2" fontId="3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2" fontId="3" fillId="0" borderId="54" xfId="1" applyNumberFormat="1" applyFont="1" applyBorder="1" applyAlignment="1">
      <alignment horizontal="center"/>
    </xf>
    <xf numFmtId="2" fontId="3" fillId="0" borderId="41" xfId="1" applyNumberFormat="1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left"/>
    </xf>
    <xf numFmtId="0" fontId="2" fillId="3" borderId="51" xfId="0" applyFont="1" applyFill="1" applyBorder="1" applyAlignment="1">
      <alignment horizontal="left"/>
    </xf>
    <xf numFmtId="0" fontId="2" fillId="3" borderId="52" xfId="0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2" fontId="3" fillId="0" borderId="7" xfId="1" applyNumberFormat="1" applyFont="1" applyBorder="1" applyAlignment="1">
      <alignment horizontal="center" wrapText="1"/>
    </xf>
    <xf numFmtId="2" fontId="3" fillId="0" borderId="4" xfId="1" applyNumberFormat="1" applyFont="1" applyBorder="1" applyAlignment="1">
      <alignment horizontal="center" wrapText="1"/>
    </xf>
    <xf numFmtId="2" fontId="3" fillId="0" borderId="8" xfId="1" applyNumberFormat="1" applyFont="1" applyBorder="1" applyAlignment="1">
      <alignment horizontal="center" wrapText="1"/>
    </xf>
    <xf numFmtId="43" fontId="3" fillId="0" borderId="4" xfId="1" applyFont="1" applyBorder="1" applyAlignment="1">
      <alignment horizontal="center"/>
    </xf>
    <xf numFmtId="43" fontId="3" fillId="0" borderId="7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45" xfId="1" applyFont="1" applyBorder="1" applyAlignment="1">
      <alignment horizontal="center"/>
    </xf>
    <xf numFmtId="43" fontId="3" fillId="0" borderId="28" xfId="1" applyFont="1" applyBorder="1" applyAlignment="1">
      <alignment horizontal="center"/>
    </xf>
    <xf numFmtId="43" fontId="3" fillId="0" borderId="27" xfId="1" applyFont="1" applyBorder="1" applyAlignment="1">
      <alignment horizontal="center"/>
    </xf>
    <xf numFmtId="43" fontId="2" fillId="0" borderId="2" xfId="1" applyFont="1" applyBorder="1" applyAlignment="1">
      <alignment horizontal="right"/>
    </xf>
    <xf numFmtId="0" fontId="10" fillId="5" borderId="32" xfId="0" applyFont="1" applyFill="1" applyBorder="1" applyAlignment="1">
      <alignment horizontal="center" wrapText="1"/>
    </xf>
    <xf numFmtId="0" fontId="10" fillId="5" borderId="33" xfId="0" applyFont="1" applyFill="1" applyBorder="1" applyAlignment="1">
      <alignment horizontal="center" wrapText="1"/>
    </xf>
    <xf numFmtId="0" fontId="10" fillId="5" borderId="34" xfId="0" applyFont="1" applyFill="1" applyBorder="1" applyAlignment="1">
      <alignment horizont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43" fontId="2" fillId="4" borderId="48" xfId="1" applyFont="1" applyFill="1" applyBorder="1" applyAlignment="1">
      <alignment horizontal="left"/>
    </xf>
    <xf numFmtId="43" fontId="2" fillId="4" borderId="51" xfId="1" applyFont="1" applyFill="1" applyBorder="1" applyAlignment="1">
      <alignment horizontal="left"/>
    </xf>
    <xf numFmtId="43" fontId="2" fillId="4" borderId="52" xfId="1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center" wrapText="1"/>
    </xf>
    <xf numFmtId="2" fontId="3" fillId="0" borderId="8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2" fontId="3" fillId="0" borderId="4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2" fontId="3" fillId="0" borderId="56" xfId="0" applyNumberFormat="1" applyFont="1" applyBorder="1" applyAlignment="1">
      <alignment horizontal="center" wrapText="1"/>
    </xf>
    <xf numFmtId="2" fontId="3" fillId="0" borderId="10" xfId="0" applyNumberFormat="1" applyFont="1" applyBorder="1" applyAlignment="1">
      <alignment horizontal="center" wrapText="1"/>
    </xf>
    <xf numFmtId="2" fontId="3" fillId="0" borderId="59" xfId="0" applyNumberFormat="1" applyFont="1" applyBorder="1" applyAlignment="1">
      <alignment horizontal="center" wrapText="1"/>
    </xf>
    <xf numFmtId="0" fontId="2" fillId="3" borderId="32" xfId="0" applyFont="1" applyFill="1" applyBorder="1" applyAlignment="1">
      <alignment horizontal="left"/>
    </xf>
    <xf numFmtId="0" fontId="2" fillId="3" borderId="33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43" fontId="2" fillId="4" borderId="32" xfId="1" applyFont="1" applyFill="1" applyBorder="1" applyAlignment="1">
      <alignment horizontal="left"/>
    </xf>
    <xf numFmtId="43" fontId="2" fillId="4" borderId="33" xfId="1" applyFont="1" applyFill="1" applyBorder="1" applyAlignment="1">
      <alignment horizontal="left"/>
    </xf>
    <xf numFmtId="43" fontId="2" fillId="4" borderId="34" xfId="1" applyFont="1" applyFill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2" fontId="3" fillId="0" borderId="40" xfId="1" applyNumberFormat="1" applyFont="1" applyBorder="1" applyAlignment="1">
      <alignment horizontal="center"/>
    </xf>
    <xf numFmtId="0" fontId="2" fillId="0" borderId="4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wrapText="1"/>
    </xf>
    <xf numFmtId="0" fontId="7" fillId="0" borderId="56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48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left" vertical="center" wrapText="1"/>
    </xf>
    <xf numFmtId="2" fontId="4" fillId="0" borderId="56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3" borderId="48" xfId="0" applyFont="1" applyFill="1" applyBorder="1" applyAlignment="1">
      <alignment vertical="center" wrapText="1"/>
    </xf>
    <xf numFmtId="0" fontId="2" fillId="3" borderId="51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0" fontId="3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4" borderId="48" xfId="0" applyFont="1" applyFill="1" applyBorder="1" applyAlignment="1">
      <alignment horizontal="left"/>
    </xf>
    <xf numFmtId="0" fontId="12" fillId="4" borderId="51" xfId="0" applyFont="1" applyFill="1" applyBorder="1" applyAlignment="1">
      <alignment horizontal="left"/>
    </xf>
    <xf numFmtId="0" fontId="12" fillId="4" borderId="52" xfId="0" applyFont="1" applyFill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57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35" xfId="0" applyFont="1" applyFill="1" applyBorder="1" applyAlignment="1">
      <alignment horizontal="right" wrapText="1"/>
    </xf>
    <xf numFmtId="0" fontId="2" fillId="0" borderId="54" xfId="0" applyFont="1" applyFill="1" applyBorder="1" applyAlignment="1">
      <alignment horizontal="right" wrapText="1"/>
    </xf>
    <xf numFmtId="0" fontId="2" fillId="0" borderId="36" xfId="0" applyFont="1" applyFill="1" applyBorder="1" applyAlignment="1">
      <alignment horizontal="right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2" fillId="0" borderId="53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6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2" fillId="0" borderId="9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right" wrapText="1"/>
    </xf>
    <xf numFmtId="166" fontId="2" fillId="0" borderId="22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vertical="center" wrapText="1"/>
    </xf>
    <xf numFmtId="166" fontId="2" fillId="0" borderId="42" xfId="0" applyNumberFormat="1" applyFont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0" fontId="10" fillId="5" borderId="57" xfId="0" applyFont="1" applyFill="1" applyBorder="1" applyAlignment="1">
      <alignment horizontal="center" wrapText="1"/>
    </xf>
    <xf numFmtId="0" fontId="10" fillId="5" borderId="43" xfId="0" applyFont="1" applyFill="1" applyBorder="1" applyAlignment="1">
      <alignment horizontal="center" wrapText="1"/>
    </xf>
    <xf numFmtId="0" fontId="10" fillId="5" borderId="55" xfId="0" applyFont="1" applyFill="1" applyBorder="1" applyAlignment="1">
      <alignment horizont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166" fontId="2" fillId="0" borderId="21" xfId="0" applyNumberFormat="1" applyFont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right" wrapText="1"/>
    </xf>
    <xf numFmtId="0" fontId="2" fillId="0" borderId="54" xfId="0" applyFont="1" applyBorder="1" applyAlignment="1">
      <alignment horizontal="right" wrapText="1"/>
    </xf>
    <xf numFmtId="0" fontId="2" fillId="0" borderId="36" xfId="0" applyFont="1" applyBorder="1" applyAlignment="1">
      <alignment horizontal="right" wrapText="1"/>
    </xf>
    <xf numFmtId="166" fontId="4" fillId="0" borderId="23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166" fontId="2" fillId="0" borderId="42" xfId="0" applyNumberFormat="1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wrapText="1"/>
    </xf>
    <xf numFmtId="0" fontId="2" fillId="3" borderId="33" xfId="0" applyFont="1" applyFill="1" applyBorder="1" applyAlignment="1">
      <alignment horizontal="left" wrapText="1"/>
    </xf>
    <xf numFmtId="0" fontId="2" fillId="3" borderId="34" xfId="0" applyFont="1" applyFill="1" applyBorder="1" applyAlignment="1">
      <alignment horizontal="left" wrapText="1"/>
    </xf>
    <xf numFmtId="0" fontId="2" fillId="0" borderId="5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4" borderId="32" xfId="0" applyFont="1" applyFill="1" applyBorder="1" applyAlignment="1">
      <alignment horizontal="left" wrapText="1"/>
    </xf>
    <xf numFmtId="0" fontId="2" fillId="4" borderId="33" xfId="0" applyFont="1" applyFill="1" applyBorder="1" applyAlignment="1">
      <alignment horizontal="left" wrapText="1"/>
    </xf>
    <xf numFmtId="0" fontId="2" fillId="4" borderId="3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right" wrapText="1"/>
    </xf>
    <xf numFmtId="0" fontId="2" fillId="0" borderId="17" xfId="0" applyFont="1" applyFill="1" applyBorder="1" applyAlignment="1">
      <alignment horizontal="right" wrapText="1"/>
    </xf>
    <xf numFmtId="0" fontId="2" fillId="4" borderId="3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right" wrapText="1"/>
    </xf>
    <xf numFmtId="0" fontId="8" fillId="0" borderId="10" xfId="0" applyFont="1" applyFill="1" applyBorder="1" applyAlignment="1">
      <alignment horizontal="right" wrapText="1"/>
    </xf>
    <xf numFmtId="0" fontId="8" fillId="0" borderId="26" xfId="0" applyFont="1" applyFill="1" applyBorder="1" applyAlignment="1">
      <alignment horizontal="right" wrapText="1"/>
    </xf>
    <xf numFmtId="166" fontId="8" fillId="0" borderId="22" xfId="0" applyNumberFormat="1" applyFont="1" applyBorder="1" applyAlignment="1">
      <alignment horizontal="center" vertical="center"/>
    </xf>
    <xf numFmtId="166" fontId="8" fillId="0" borderId="20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166" fontId="3" fillId="0" borderId="21" xfId="0" applyNumberFormat="1" applyFont="1" applyFill="1" applyBorder="1" applyAlignment="1">
      <alignment horizontal="center" vertical="center" wrapText="1"/>
    </xf>
    <xf numFmtId="166" fontId="3" fillId="0" borderId="20" xfId="0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166" fontId="3" fillId="0" borderId="21" xfId="0" applyNumberFormat="1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166" fontId="3" fillId="0" borderId="23" xfId="0" applyNumberFormat="1" applyFont="1" applyBorder="1" applyAlignment="1">
      <alignment horizontal="center" vertical="center" wrapText="1"/>
    </xf>
    <xf numFmtId="166" fontId="3" fillId="0" borderId="22" xfId="0" applyNumberFormat="1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166" fontId="8" fillId="0" borderId="42" xfId="0" applyNumberFormat="1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66" fontId="3" fillId="0" borderId="7" xfId="0" applyNumberFormat="1" applyFont="1" applyBorder="1" applyAlignment="1" applyProtection="1">
      <alignment horizontal="center" vertical="center" wrapText="1"/>
      <protection locked="0"/>
    </xf>
    <xf numFmtId="166" fontId="3" fillId="0" borderId="8" xfId="0" applyNumberFormat="1" applyFont="1" applyBorder="1" applyAlignment="1" applyProtection="1">
      <alignment horizontal="center" vertical="center" wrapText="1"/>
      <protection locked="0"/>
    </xf>
    <xf numFmtId="166" fontId="3" fillId="0" borderId="2" xfId="2" applyNumberFormat="1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9" xfId="0" applyNumberFormat="1" applyFont="1" applyBorder="1" applyAlignment="1" applyProtection="1">
      <alignment horizontal="center" wrapText="1"/>
      <protection locked="0"/>
    </xf>
    <xf numFmtId="166" fontId="3" fillId="0" borderId="19" xfId="2" applyNumberFormat="1" applyFont="1" applyBorder="1" applyAlignment="1" applyProtection="1">
      <alignment horizontal="center" vertical="center" wrapText="1"/>
      <protection locked="0"/>
    </xf>
    <xf numFmtId="166" fontId="4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166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6" fontId="3" fillId="0" borderId="25" xfId="2" applyNumberFormat="1" applyFont="1" applyFill="1" applyBorder="1" applyAlignment="1" applyProtection="1">
      <alignment horizontal="center" vertical="center" wrapText="1"/>
      <protection locked="0"/>
    </xf>
    <xf numFmtId="166" fontId="11" fillId="0" borderId="2" xfId="2" applyNumberFormat="1" applyFont="1" applyBorder="1" applyAlignment="1" applyProtection="1">
      <alignment horizontal="center"/>
      <protection locked="0"/>
    </xf>
    <xf numFmtId="166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166" fontId="11" fillId="0" borderId="44" xfId="0" applyNumberFormat="1" applyFont="1" applyFill="1" applyBorder="1" applyAlignment="1" applyProtection="1">
      <alignment horizontal="center"/>
      <protection locked="0"/>
    </xf>
    <xf numFmtId="166" fontId="11" fillId="0" borderId="19" xfId="0" applyNumberFormat="1" applyFont="1" applyBorder="1" applyAlignment="1" applyProtection="1">
      <alignment horizontal="center"/>
      <protection locked="0"/>
    </xf>
    <xf numFmtId="166" fontId="3" fillId="0" borderId="2" xfId="0" applyNumberFormat="1" applyFont="1" applyBorder="1" applyAlignment="1" applyProtection="1">
      <alignment horizontal="center" wrapText="1"/>
      <protection locked="0"/>
    </xf>
    <xf numFmtId="165" fontId="11" fillId="0" borderId="2" xfId="0" applyNumberFormat="1" applyFont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1</xdr:row>
      <xdr:rowOff>147638</xdr:rowOff>
    </xdr:from>
    <xdr:to>
      <xdr:col>4</xdr:col>
      <xdr:colOff>920290</xdr:colOff>
      <xdr:row>6</xdr:row>
      <xdr:rowOff>24361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5325" y="350044"/>
          <a:ext cx="292893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123005</xdr:colOff>
      <xdr:row>0</xdr:row>
      <xdr:rowOff>56029</xdr:rowOff>
    </xdr:from>
    <xdr:to>
      <xdr:col>2</xdr:col>
      <xdr:colOff>2332805</xdr:colOff>
      <xdr:row>5</xdr:row>
      <xdr:rowOff>24394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629" r="2"/>
        <a:stretch>
          <a:fillRect/>
        </a:stretch>
      </xdr:blipFill>
      <xdr:spPr bwMode="auto">
        <a:xfrm>
          <a:off x="728123" y="56029"/>
          <a:ext cx="2770094" cy="853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aynaraCorrea/Downloads/Memoria%20de%20Calculo%20%20Museu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8">
          <cell r="F18">
            <v>14.67</v>
          </cell>
        </row>
      </sheetData>
      <sheetData sheetId="1">
        <row r="3">
          <cell r="A3" t="str">
            <v>ORÇAMENTO BÁSICO ESTIMADO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64"/>
  <sheetViews>
    <sheetView showGridLines="0" tabSelected="1" view="pageBreakPreview" zoomScale="78" zoomScaleNormal="70" zoomScaleSheetLayoutView="78" workbookViewId="0">
      <selection activeCell="H95" sqref="H95"/>
    </sheetView>
  </sheetViews>
  <sheetFormatPr defaultRowHeight="15"/>
  <cols>
    <col min="2" max="2" width="8" style="3" bestFit="1" customWidth="1"/>
    <col min="3" max="3" width="10.7109375" style="3" customWidth="1"/>
    <col min="4" max="4" width="12.7109375" style="3" bestFit="1" customWidth="1"/>
    <col min="5" max="5" width="71.85546875" style="2" customWidth="1"/>
    <col min="6" max="6" width="10" style="3" bestFit="1" customWidth="1"/>
    <col min="7" max="7" width="6.85546875" style="3" bestFit="1" customWidth="1"/>
    <col min="8" max="8" width="12" style="129" bestFit="1" customWidth="1"/>
    <col min="9" max="9" width="17.7109375" style="129" customWidth="1"/>
    <col min="10" max="10" width="18" style="129" bestFit="1" customWidth="1"/>
    <col min="11" max="11" width="16.42578125" style="240" customWidth="1"/>
  </cols>
  <sheetData>
    <row r="1" spans="2:11" ht="15.75" thickBot="1">
      <c r="K1" s="220"/>
    </row>
    <row r="2" spans="2:11">
      <c r="B2" s="507" t="s">
        <v>22</v>
      </c>
      <c r="C2" s="508"/>
      <c r="D2" s="508"/>
      <c r="E2" s="508"/>
      <c r="F2" s="508"/>
      <c r="G2" s="508"/>
      <c r="H2" s="508"/>
      <c r="I2" s="508"/>
      <c r="J2" s="508"/>
      <c r="K2" s="509"/>
    </row>
    <row r="3" spans="2:11">
      <c r="B3" s="510" t="s">
        <v>1</v>
      </c>
      <c r="C3" s="511"/>
      <c r="D3" s="511"/>
      <c r="E3" s="511"/>
      <c r="F3" s="511"/>
      <c r="G3" s="511"/>
      <c r="H3" s="511"/>
      <c r="I3" s="511"/>
      <c r="J3" s="511"/>
      <c r="K3" s="512"/>
    </row>
    <row r="4" spans="2:11">
      <c r="B4" s="510" t="s">
        <v>23</v>
      </c>
      <c r="C4" s="511"/>
      <c r="D4" s="511"/>
      <c r="E4" s="511"/>
      <c r="F4" s="511"/>
      <c r="G4" s="511"/>
      <c r="H4" s="511"/>
      <c r="I4" s="511"/>
      <c r="J4" s="511"/>
      <c r="K4" s="512"/>
    </row>
    <row r="5" spans="2:11">
      <c r="B5" s="510" t="s">
        <v>64</v>
      </c>
      <c r="C5" s="511"/>
      <c r="D5" s="511"/>
      <c r="E5" s="511"/>
      <c r="F5" s="511"/>
      <c r="G5" s="511"/>
      <c r="H5" s="511"/>
      <c r="I5" s="511"/>
      <c r="J5" s="511"/>
      <c r="K5" s="512"/>
    </row>
    <row r="6" spans="2:11" ht="15" customHeight="1">
      <c r="B6" s="513" t="s">
        <v>158</v>
      </c>
      <c r="C6" s="514"/>
      <c r="D6" s="514"/>
      <c r="E6" s="514"/>
      <c r="F6" s="514"/>
      <c r="G6" s="514"/>
      <c r="H6" s="514"/>
      <c r="I6" s="514"/>
      <c r="J6" s="514"/>
      <c r="K6" s="515"/>
    </row>
    <row r="7" spans="2:11">
      <c r="B7" s="489" t="e">
        <f>#REF!</f>
        <v>#REF!</v>
      </c>
      <c r="C7" s="490"/>
      <c r="D7" s="490"/>
      <c r="E7" s="490"/>
      <c r="F7" s="490"/>
      <c r="G7" s="490"/>
      <c r="H7" s="490"/>
      <c r="I7" s="490"/>
      <c r="J7" s="490"/>
      <c r="K7" s="491"/>
    </row>
    <row r="8" spans="2:11" s="13" customFormat="1" ht="16.5" customHeight="1" thickBot="1">
      <c r="B8" s="495" t="s">
        <v>154</v>
      </c>
      <c r="C8" s="496"/>
      <c r="D8" s="496"/>
      <c r="E8" s="496"/>
      <c r="F8" s="496"/>
      <c r="G8" s="496"/>
      <c r="H8" s="496"/>
      <c r="I8" s="496"/>
      <c r="J8" s="496"/>
      <c r="K8" s="497"/>
    </row>
    <row r="9" spans="2:11" ht="15.75" thickBot="1">
      <c r="B9" s="130"/>
      <c r="C9" s="131"/>
      <c r="D9" s="131"/>
      <c r="E9" s="498" t="s">
        <v>401</v>
      </c>
      <c r="F9" s="498"/>
      <c r="G9" s="498"/>
      <c r="H9" s="498"/>
      <c r="I9" s="498"/>
      <c r="J9" s="498"/>
      <c r="K9" s="499"/>
    </row>
    <row r="10" spans="2:11" ht="15.75" thickBot="1">
      <c r="B10" s="44" t="s">
        <v>3</v>
      </c>
      <c r="C10" s="374" t="s">
        <v>24</v>
      </c>
      <c r="D10" s="488"/>
      <c r="E10" s="114" t="s">
        <v>4</v>
      </c>
      <c r="F10" s="45" t="s">
        <v>25</v>
      </c>
      <c r="G10" s="46" t="s">
        <v>26</v>
      </c>
      <c r="H10" s="47" t="s">
        <v>27</v>
      </c>
      <c r="I10" s="47" t="s">
        <v>28</v>
      </c>
      <c r="J10" s="48" t="s">
        <v>15</v>
      </c>
      <c r="K10" s="221" t="s">
        <v>29</v>
      </c>
    </row>
    <row r="11" spans="2:11" ht="15.75" thickBot="1">
      <c r="B11" s="492" t="s">
        <v>7</v>
      </c>
      <c r="C11" s="493"/>
      <c r="D11" s="493"/>
      <c r="E11" s="493"/>
      <c r="F11" s="493"/>
      <c r="G11" s="493"/>
      <c r="H11" s="493"/>
      <c r="I11" s="493"/>
      <c r="J11" s="493"/>
      <c r="K11" s="494"/>
    </row>
    <row r="12" spans="2:11">
      <c r="B12" s="49">
        <v>1</v>
      </c>
      <c r="C12" s="50" t="s">
        <v>36</v>
      </c>
      <c r="D12" s="51">
        <v>20000</v>
      </c>
      <c r="E12" s="470" t="s">
        <v>8</v>
      </c>
      <c r="F12" s="471"/>
      <c r="G12" s="471"/>
      <c r="H12" s="471"/>
      <c r="I12" s="471"/>
      <c r="J12" s="471"/>
      <c r="K12" s="472"/>
    </row>
    <row r="13" spans="2:11" ht="81.75" customHeight="1">
      <c r="B13" s="97" t="s">
        <v>12</v>
      </c>
      <c r="C13" s="59" t="s">
        <v>130</v>
      </c>
      <c r="D13" s="59" t="s">
        <v>368</v>
      </c>
      <c r="E13" s="212" t="s">
        <v>369</v>
      </c>
      <c r="F13" s="215">
        <f>'Memória de cálculo'!H13</f>
        <v>3</v>
      </c>
      <c r="G13" s="211" t="s">
        <v>370</v>
      </c>
      <c r="H13" s="541">
        <v>0</v>
      </c>
      <c r="I13" s="542"/>
      <c r="J13" s="548">
        <f>H13*F13</f>
        <v>0</v>
      </c>
      <c r="K13" s="516"/>
    </row>
    <row r="14" spans="2:11" ht="44.25" customHeight="1">
      <c r="B14" s="97" t="s">
        <v>13</v>
      </c>
      <c r="C14" s="59" t="s">
        <v>36</v>
      </c>
      <c r="D14" s="59">
        <v>21301</v>
      </c>
      <c r="E14" s="212" t="s">
        <v>305</v>
      </c>
      <c r="F14" s="215">
        <f>'Memória de cálculo'!H15</f>
        <v>3</v>
      </c>
      <c r="G14" s="211" t="s">
        <v>30</v>
      </c>
      <c r="H14" s="543">
        <v>0</v>
      </c>
      <c r="I14" s="543">
        <v>0</v>
      </c>
      <c r="J14" s="548">
        <f>(H14+I14)*F14</f>
        <v>0</v>
      </c>
      <c r="K14" s="517"/>
    </row>
    <row r="15" spans="2:11" ht="15.75" thickBot="1">
      <c r="B15" s="481" t="s">
        <v>31</v>
      </c>
      <c r="C15" s="482"/>
      <c r="D15" s="482"/>
      <c r="E15" s="482"/>
      <c r="F15" s="482"/>
      <c r="G15" s="482"/>
      <c r="H15" s="482"/>
      <c r="I15" s="483"/>
      <c r="J15" s="62">
        <f>SUM(J13:J14)</f>
        <v>0</v>
      </c>
      <c r="K15" s="224">
        <f>J15+(J15*0.273)</f>
        <v>0</v>
      </c>
    </row>
    <row r="16" spans="2:11" ht="15.75" thickBot="1">
      <c r="B16" s="474" t="s">
        <v>16</v>
      </c>
      <c r="C16" s="475"/>
      <c r="D16" s="475"/>
      <c r="E16" s="475"/>
      <c r="F16" s="475"/>
      <c r="G16" s="475"/>
      <c r="H16" s="475"/>
      <c r="I16" s="475"/>
      <c r="J16" s="475"/>
      <c r="K16" s="500"/>
    </row>
    <row r="17" spans="2:11">
      <c r="B17" s="49">
        <v>2</v>
      </c>
      <c r="C17" s="50" t="s">
        <v>36</v>
      </c>
      <c r="D17" s="51">
        <v>30000</v>
      </c>
      <c r="E17" s="470" t="s">
        <v>17</v>
      </c>
      <c r="F17" s="471"/>
      <c r="G17" s="471"/>
      <c r="H17" s="471"/>
      <c r="I17" s="471"/>
      <c r="J17" s="471"/>
      <c r="K17" s="472"/>
    </row>
    <row r="18" spans="2:11" ht="39.75" customHeight="1">
      <c r="B18" s="97" t="s">
        <v>18</v>
      </c>
      <c r="C18" s="59" t="s">
        <v>36</v>
      </c>
      <c r="D18" s="59">
        <v>30114</v>
      </c>
      <c r="E18" s="212" t="s">
        <v>307</v>
      </c>
      <c r="F18" s="215">
        <f>'Memória de cálculo'!E18</f>
        <v>1</v>
      </c>
      <c r="G18" s="211" t="s">
        <v>308</v>
      </c>
      <c r="H18" s="543">
        <v>0</v>
      </c>
      <c r="I18" s="543">
        <v>0</v>
      </c>
      <c r="J18" s="548">
        <f>(H18+I18)*F18</f>
        <v>0</v>
      </c>
      <c r="K18" s="516"/>
    </row>
    <row r="19" spans="2:11" ht="48.75" customHeight="1">
      <c r="B19" s="97" t="s">
        <v>331</v>
      </c>
      <c r="C19" s="59" t="s">
        <v>36</v>
      </c>
      <c r="D19" s="59">
        <v>30110</v>
      </c>
      <c r="E19" s="212" t="s">
        <v>384</v>
      </c>
      <c r="F19" s="215">
        <f>'Memória de cálculo'!E19</f>
        <v>81</v>
      </c>
      <c r="G19" s="211" t="s">
        <v>383</v>
      </c>
      <c r="H19" s="543">
        <v>0</v>
      </c>
      <c r="I19" s="543">
        <v>0</v>
      </c>
      <c r="J19" s="548">
        <f t="shared" ref="J19:J20" si="0">(H19+I19)*F19</f>
        <v>0</v>
      </c>
      <c r="K19" s="530"/>
    </row>
    <row r="20" spans="2:11" ht="56.25" customHeight="1">
      <c r="B20" s="97" t="s">
        <v>385</v>
      </c>
      <c r="C20" s="59" t="s">
        <v>36</v>
      </c>
      <c r="D20" s="59">
        <v>30116</v>
      </c>
      <c r="E20" s="212" t="s">
        <v>309</v>
      </c>
      <c r="F20" s="215">
        <f>'Memória de cálculo'!E20</f>
        <v>1</v>
      </c>
      <c r="G20" s="211" t="s">
        <v>308</v>
      </c>
      <c r="H20" s="543">
        <v>0</v>
      </c>
      <c r="I20" s="543">
        <v>0</v>
      </c>
      <c r="J20" s="548">
        <f t="shared" si="0"/>
        <v>0</v>
      </c>
      <c r="K20" s="517"/>
    </row>
    <row r="21" spans="2:11" ht="15.75" thickBot="1">
      <c r="B21" s="481" t="s">
        <v>31</v>
      </c>
      <c r="C21" s="482"/>
      <c r="D21" s="482"/>
      <c r="E21" s="482"/>
      <c r="F21" s="482"/>
      <c r="G21" s="482"/>
      <c r="H21" s="482"/>
      <c r="I21" s="483"/>
      <c r="J21" s="62">
        <f>SUM(J18:J20)</f>
        <v>0</v>
      </c>
      <c r="K21" s="224">
        <f>J21+(J21*0.273)</f>
        <v>0</v>
      </c>
    </row>
    <row r="22" spans="2:11" ht="15.75" thickBot="1">
      <c r="B22" s="474" t="s">
        <v>330</v>
      </c>
      <c r="C22" s="475"/>
      <c r="D22" s="475"/>
      <c r="E22" s="475"/>
      <c r="F22" s="475"/>
      <c r="G22" s="475"/>
      <c r="H22" s="475"/>
      <c r="I22" s="475"/>
      <c r="J22" s="475"/>
      <c r="K22" s="500"/>
    </row>
    <row r="23" spans="2:11" s="144" customFormat="1">
      <c r="B23" s="262">
        <v>3</v>
      </c>
      <c r="C23" s="213" t="s">
        <v>36</v>
      </c>
      <c r="D23" s="213">
        <v>250000</v>
      </c>
      <c r="E23" s="263" t="s">
        <v>312</v>
      </c>
      <c r="F23" s="264"/>
      <c r="G23" s="264"/>
      <c r="H23" s="264"/>
      <c r="I23" s="264"/>
      <c r="J23" s="265"/>
      <c r="K23" s="266"/>
    </row>
    <row r="24" spans="2:11">
      <c r="B24" s="97" t="s">
        <v>58</v>
      </c>
      <c r="C24" s="59" t="s">
        <v>36</v>
      </c>
      <c r="D24" s="59">
        <v>250110</v>
      </c>
      <c r="E24" s="210" t="s">
        <v>314</v>
      </c>
      <c r="F24" s="215">
        <f>'Memória de cálculo'!H26</f>
        <v>912</v>
      </c>
      <c r="G24" s="211" t="s">
        <v>313</v>
      </c>
      <c r="H24" s="543">
        <v>0</v>
      </c>
      <c r="I24" s="543">
        <v>0</v>
      </c>
      <c r="J24" s="548">
        <f>I24*F24</f>
        <v>0</v>
      </c>
      <c r="K24" s="245"/>
    </row>
    <row r="25" spans="2:11" ht="15.75" thickBot="1">
      <c r="B25" s="481" t="s">
        <v>31</v>
      </c>
      <c r="C25" s="482"/>
      <c r="D25" s="482"/>
      <c r="E25" s="482"/>
      <c r="F25" s="482"/>
      <c r="G25" s="482"/>
      <c r="H25" s="482"/>
      <c r="I25" s="483"/>
      <c r="J25" s="62">
        <f>SUM(J24:J24)</f>
        <v>0</v>
      </c>
      <c r="K25" s="224">
        <f>J25+(J25*0.273)</f>
        <v>0</v>
      </c>
    </row>
    <row r="26" spans="2:11" ht="15.75" thickBot="1">
      <c r="B26" s="334" t="s">
        <v>37</v>
      </c>
      <c r="C26" s="335"/>
      <c r="D26" s="335"/>
      <c r="E26" s="335"/>
      <c r="F26" s="335"/>
      <c r="G26" s="335"/>
      <c r="H26" s="335"/>
      <c r="I26" s="335"/>
      <c r="J26" s="335"/>
      <c r="K26" s="336"/>
    </row>
    <row r="27" spans="2:11">
      <c r="B27" s="49">
        <v>4</v>
      </c>
      <c r="C27" s="72" t="s">
        <v>36</v>
      </c>
      <c r="D27" s="51">
        <v>270000</v>
      </c>
      <c r="E27" s="73" t="s">
        <v>38</v>
      </c>
      <c r="F27" s="242"/>
      <c r="G27" s="242"/>
      <c r="H27" s="243"/>
      <c r="I27" s="243"/>
      <c r="J27" s="243"/>
      <c r="K27" s="244"/>
    </row>
    <row r="28" spans="2:11" ht="38.25">
      <c r="B28" s="52" t="s">
        <v>41</v>
      </c>
      <c r="C28" s="59" t="s">
        <v>36</v>
      </c>
      <c r="D28" s="59">
        <v>271303</v>
      </c>
      <c r="E28" s="201" t="s">
        <v>318</v>
      </c>
      <c r="F28" s="56">
        <f>'Memória de cálculo'!E29</f>
        <v>1.2</v>
      </c>
      <c r="G28" s="59" t="s">
        <v>319</v>
      </c>
      <c r="H28" s="547">
        <v>0</v>
      </c>
      <c r="I28" s="547">
        <v>0</v>
      </c>
      <c r="J28" s="548">
        <f t="shared" ref="J28:J30" si="1">(H28+I28)*F28</f>
        <v>0</v>
      </c>
      <c r="K28" s="516"/>
    </row>
    <row r="29" spans="2:11">
      <c r="B29" s="52" t="s">
        <v>42</v>
      </c>
      <c r="C29" s="59" t="s">
        <v>36</v>
      </c>
      <c r="D29" s="59">
        <v>271500</v>
      </c>
      <c r="E29" s="201" t="s">
        <v>315</v>
      </c>
      <c r="F29" s="56">
        <f>'Memória de cálculo'!H32</f>
        <v>300</v>
      </c>
      <c r="G29" s="59" t="s">
        <v>316</v>
      </c>
      <c r="H29" s="547">
        <v>0</v>
      </c>
      <c r="I29" s="547">
        <v>0</v>
      </c>
      <c r="J29" s="548">
        <f t="shared" si="1"/>
        <v>0</v>
      </c>
      <c r="K29" s="530"/>
    </row>
    <row r="30" spans="2:11">
      <c r="B30" s="52" t="s">
        <v>105</v>
      </c>
      <c r="C30" s="59" t="s">
        <v>36</v>
      </c>
      <c r="D30" s="59">
        <v>271502</v>
      </c>
      <c r="E30" s="201" t="s">
        <v>317</v>
      </c>
      <c r="F30" s="56">
        <f>'Memória de cálculo'!H35</f>
        <v>300</v>
      </c>
      <c r="G30" s="59" t="s">
        <v>316</v>
      </c>
      <c r="H30" s="547">
        <v>0</v>
      </c>
      <c r="I30" s="547">
        <v>0</v>
      </c>
      <c r="J30" s="548">
        <f t="shared" si="1"/>
        <v>0</v>
      </c>
      <c r="K30" s="517"/>
    </row>
    <row r="31" spans="2:11" ht="15.75" thickBot="1">
      <c r="B31" s="481" t="s">
        <v>31</v>
      </c>
      <c r="C31" s="482"/>
      <c r="D31" s="482"/>
      <c r="E31" s="482"/>
      <c r="F31" s="482"/>
      <c r="G31" s="482"/>
      <c r="H31" s="482"/>
      <c r="I31" s="483"/>
      <c r="J31" s="62">
        <f>SUM(J28:J30)</f>
        <v>0</v>
      </c>
      <c r="K31" s="224">
        <f>J31+(J31*0.273)</f>
        <v>0</v>
      </c>
    </row>
    <row r="32" spans="2:11" ht="15.75" thickBot="1">
      <c r="B32" s="534" t="s">
        <v>39</v>
      </c>
      <c r="C32" s="535"/>
      <c r="D32" s="535"/>
      <c r="E32" s="535"/>
      <c r="F32" s="535"/>
      <c r="G32" s="535"/>
      <c r="H32" s="535"/>
      <c r="I32" s="535"/>
      <c r="J32" s="535"/>
      <c r="K32" s="536"/>
    </row>
    <row r="33" spans="2:11">
      <c r="B33" s="537" t="s">
        <v>15</v>
      </c>
      <c r="C33" s="538"/>
      <c r="D33" s="538"/>
      <c r="E33" s="538"/>
      <c r="F33" s="538"/>
      <c r="G33" s="538"/>
      <c r="H33" s="538"/>
      <c r="I33" s="539"/>
      <c r="J33" s="76">
        <f>J21+J31+J25+J15</f>
        <v>0</v>
      </c>
      <c r="K33" s="540"/>
    </row>
    <row r="34" spans="2:11" ht="15" customHeight="1">
      <c r="B34" s="521" t="s">
        <v>40</v>
      </c>
      <c r="C34" s="522"/>
      <c r="D34" s="522"/>
      <c r="E34" s="522"/>
      <c r="F34" s="522"/>
      <c r="G34" s="522"/>
      <c r="H34" s="522"/>
      <c r="I34" s="523"/>
      <c r="J34" s="77">
        <f>(J33*0.273)</f>
        <v>0</v>
      </c>
      <c r="K34" s="505"/>
    </row>
    <row r="35" spans="2:11" ht="15" customHeight="1" thickBot="1">
      <c r="B35" s="501" t="s">
        <v>29</v>
      </c>
      <c r="C35" s="502"/>
      <c r="D35" s="502"/>
      <c r="E35" s="502"/>
      <c r="F35" s="502"/>
      <c r="G35" s="502"/>
      <c r="H35" s="502"/>
      <c r="I35" s="503"/>
      <c r="J35" s="78">
        <f>SUM(J33,J34)</f>
        <v>0</v>
      </c>
      <c r="K35" s="222">
        <f>K31+K25+K15+K21</f>
        <v>0</v>
      </c>
    </row>
    <row r="36" spans="2:11" ht="15.75" customHeight="1" thickBot="1">
      <c r="B36" s="320" t="s">
        <v>65</v>
      </c>
      <c r="C36" s="321"/>
      <c r="D36" s="321"/>
      <c r="E36" s="321"/>
      <c r="F36" s="321"/>
      <c r="G36" s="321"/>
      <c r="H36" s="321"/>
      <c r="I36" s="321"/>
      <c r="J36" s="321"/>
      <c r="K36" s="420"/>
    </row>
    <row r="37" spans="2:11" ht="15.75" customHeight="1" thickBot="1">
      <c r="B37" s="320" t="s">
        <v>66</v>
      </c>
      <c r="C37" s="321"/>
      <c r="D37" s="321"/>
      <c r="E37" s="321"/>
      <c r="F37" s="321"/>
      <c r="G37" s="321"/>
      <c r="H37" s="321"/>
      <c r="I37" s="321"/>
      <c r="J37" s="321"/>
      <c r="K37" s="420"/>
    </row>
    <row r="38" spans="2:11" ht="15.75" thickBot="1">
      <c r="B38" s="44" t="s">
        <v>3</v>
      </c>
      <c r="C38" s="374" t="s">
        <v>24</v>
      </c>
      <c r="D38" s="488"/>
      <c r="E38" s="114" t="s">
        <v>4</v>
      </c>
      <c r="F38" s="45" t="s">
        <v>25</v>
      </c>
      <c r="G38" s="46" t="s">
        <v>26</v>
      </c>
      <c r="H38" s="47" t="s">
        <v>27</v>
      </c>
      <c r="I38" s="47" t="s">
        <v>28</v>
      </c>
      <c r="J38" s="48" t="s">
        <v>15</v>
      </c>
      <c r="K38" s="221" t="s">
        <v>29</v>
      </c>
    </row>
    <row r="39" spans="2:11" ht="15.75" thickBot="1">
      <c r="B39" s="492" t="s">
        <v>7</v>
      </c>
      <c r="C39" s="493"/>
      <c r="D39" s="493"/>
      <c r="E39" s="493"/>
      <c r="F39" s="493"/>
      <c r="G39" s="493"/>
      <c r="H39" s="493"/>
      <c r="I39" s="493"/>
      <c r="J39" s="493"/>
      <c r="K39" s="494"/>
    </row>
    <row r="40" spans="2:11" ht="15.75" customHeight="1">
      <c r="B40" s="49">
        <v>1</v>
      </c>
      <c r="C40" s="50" t="s">
        <v>36</v>
      </c>
      <c r="D40" s="51">
        <v>20000</v>
      </c>
      <c r="E40" s="470" t="s">
        <v>8</v>
      </c>
      <c r="F40" s="471"/>
      <c r="G40" s="471"/>
      <c r="H40" s="471"/>
      <c r="I40" s="471"/>
      <c r="J40" s="471"/>
      <c r="K40" s="472"/>
    </row>
    <row r="41" spans="2:11" ht="16.5" customHeight="1">
      <c r="B41" s="52" t="s">
        <v>12</v>
      </c>
      <c r="C41" s="53" t="s">
        <v>36</v>
      </c>
      <c r="D41" s="54">
        <v>20106</v>
      </c>
      <c r="E41" s="55" t="s">
        <v>85</v>
      </c>
      <c r="F41" s="56">
        <f>'Memória de cálculo'!H43</f>
        <v>4.41</v>
      </c>
      <c r="G41" s="57" t="s">
        <v>9</v>
      </c>
      <c r="H41" s="546">
        <v>0</v>
      </c>
      <c r="I41" s="546">
        <v>0</v>
      </c>
      <c r="J41" s="546">
        <f>(I41+H41)*F41</f>
        <v>0</v>
      </c>
      <c r="K41" s="473"/>
    </row>
    <row r="42" spans="2:11">
      <c r="B42" s="52" t="s">
        <v>13</v>
      </c>
      <c r="C42" s="53" t="s">
        <v>36</v>
      </c>
      <c r="D42" s="59">
        <v>20115</v>
      </c>
      <c r="E42" s="60" t="s">
        <v>132</v>
      </c>
      <c r="F42" s="56">
        <f>'Memória de cálculo'!H49</f>
        <v>19.979999999999997</v>
      </c>
      <c r="G42" s="57" t="s">
        <v>9</v>
      </c>
      <c r="H42" s="546">
        <v>0</v>
      </c>
      <c r="I42" s="546">
        <v>0</v>
      </c>
      <c r="J42" s="546">
        <f t="shared" ref="J42:J44" si="2">(I42+H42)*F42</f>
        <v>0</v>
      </c>
      <c r="K42" s="463"/>
    </row>
    <row r="43" spans="2:11" ht="15.75" customHeight="1">
      <c r="B43" s="52" t="s">
        <v>14</v>
      </c>
      <c r="C43" s="53" t="s">
        <v>36</v>
      </c>
      <c r="D43" s="61">
        <v>20140</v>
      </c>
      <c r="E43" s="60" t="s">
        <v>87</v>
      </c>
      <c r="F43" s="56">
        <f>'Memória de cálculo'!H52</f>
        <v>1</v>
      </c>
      <c r="G43" s="57" t="s">
        <v>53</v>
      </c>
      <c r="H43" s="546">
        <v>0</v>
      </c>
      <c r="I43" s="546">
        <v>0</v>
      </c>
      <c r="J43" s="546">
        <f t="shared" si="2"/>
        <v>0</v>
      </c>
      <c r="K43" s="463"/>
    </row>
    <row r="44" spans="2:11" ht="15.75" customHeight="1">
      <c r="B44" s="52" t="s">
        <v>287</v>
      </c>
      <c r="C44" s="53" t="s">
        <v>36</v>
      </c>
      <c r="D44" s="61">
        <v>20111</v>
      </c>
      <c r="E44" s="60" t="s">
        <v>288</v>
      </c>
      <c r="F44" s="56">
        <f>'Memória de cálculo'!H57</f>
        <v>4.1649999999999991</v>
      </c>
      <c r="G44" s="57" t="s">
        <v>140</v>
      </c>
      <c r="H44" s="546">
        <v>0</v>
      </c>
      <c r="I44" s="546">
        <v>0</v>
      </c>
      <c r="J44" s="546">
        <f t="shared" si="2"/>
        <v>0</v>
      </c>
      <c r="K44" s="223"/>
    </row>
    <row r="45" spans="2:11" ht="15.75" thickBot="1">
      <c r="B45" s="481" t="s">
        <v>31</v>
      </c>
      <c r="C45" s="482"/>
      <c r="D45" s="482"/>
      <c r="E45" s="482"/>
      <c r="F45" s="482"/>
      <c r="G45" s="482"/>
      <c r="H45" s="482"/>
      <c r="I45" s="483"/>
      <c r="J45" s="62">
        <f>SUM(J41:J44)</f>
        <v>0</v>
      </c>
      <c r="K45" s="224">
        <f>J45+(J45*0.273)</f>
        <v>0</v>
      </c>
    </row>
    <row r="46" spans="2:11" ht="15.75" thickBot="1">
      <c r="B46" s="474" t="s">
        <v>16</v>
      </c>
      <c r="C46" s="475"/>
      <c r="D46" s="475"/>
      <c r="E46" s="475"/>
      <c r="F46" s="475"/>
      <c r="G46" s="475"/>
      <c r="H46" s="475"/>
      <c r="I46" s="475"/>
      <c r="J46" s="475"/>
      <c r="K46" s="500"/>
    </row>
    <row r="47" spans="2:11" ht="15.75" customHeight="1">
      <c r="B47" s="49">
        <v>2</v>
      </c>
      <c r="C47" s="50" t="s">
        <v>36</v>
      </c>
      <c r="D47" s="51">
        <v>30000</v>
      </c>
      <c r="E47" s="470" t="s">
        <v>17</v>
      </c>
      <c r="F47" s="471"/>
      <c r="G47" s="471"/>
      <c r="H47" s="471"/>
      <c r="I47" s="471"/>
      <c r="J47" s="471"/>
      <c r="K47" s="472"/>
    </row>
    <row r="48" spans="2:11" ht="33" customHeight="1">
      <c r="B48" s="52" t="s">
        <v>18</v>
      </c>
      <c r="C48" s="31" t="s">
        <v>36</v>
      </c>
      <c r="D48" s="32">
        <v>30105</v>
      </c>
      <c r="E48" s="33" t="s">
        <v>92</v>
      </c>
      <c r="F48" s="34">
        <f>'Memória de cálculo'!H61</f>
        <v>4</v>
      </c>
      <c r="G48" s="32" t="s">
        <v>93</v>
      </c>
      <c r="H48" s="549">
        <v>0</v>
      </c>
      <c r="I48" s="549">
        <v>0</v>
      </c>
      <c r="J48" s="550">
        <f>(I48+H48)*F48</f>
        <v>0</v>
      </c>
      <c r="K48" s="225"/>
    </row>
    <row r="49" spans="2:11" ht="15.75" thickBot="1">
      <c r="B49" s="481" t="s">
        <v>31</v>
      </c>
      <c r="C49" s="482"/>
      <c r="D49" s="482"/>
      <c r="E49" s="482"/>
      <c r="F49" s="482"/>
      <c r="G49" s="482"/>
      <c r="H49" s="482"/>
      <c r="I49" s="483"/>
      <c r="J49" s="62">
        <f>SUM(J48)</f>
        <v>0</v>
      </c>
      <c r="K49" s="224">
        <f>J49+(J49*0.273)</f>
        <v>0</v>
      </c>
    </row>
    <row r="50" spans="2:11" ht="15.75" thickBot="1">
      <c r="B50" s="474" t="s">
        <v>19</v>
      </c>
      <c r="C50" s="475"/>
      <c r="D50" s="475"/>
      <c r="E50" s="475"/>
      <c r="F50" s="475"/>
      <c r="G50" s="475"/>
      <c r="H50" s="475"/>
      <c r="I50" s="475"/>
      <c r="J50" s="475"/>
      <c r="K50" s="500"/>
    </row>
    <row r="51" spans="2:11" ht="15.75" customHeight="1">
      <c r="B51" s="49">
        <v>3</v>
      </c>
      <c r="C51" s="50" t="s">
        <v>36</v>
      </c>
      <c r="D51" s="51">
        <v>70000</v>
      </c>
      <c r="E51" s="470" t="s">
        <v>32</v>
      </c>
      <c r="F51" s="471"/>
      <c r="G51" s="471"/>
      <c r="H51" s="471"/>
      <c r="I51" s="471"/>
      <c r="J51" s="471"/>
      <c r="K51" s="472"/>
    </row>
    <row r="52" spans="2:11" ht="15" customHeight="1">
      <c r="B52" s="66" t="s">
        <v>58</v>
      </c>
      <c r="C52" s="41" t="s">
        <v>36</v>
      </c>
      <c r="D52" s="54">
        <v>71536</v>
      </c>
      <c r="E52" s="24" t="s">
        <v>96</v>
      </c>
      <c r="F52" s="43">
        <f>'Memória de cálculo'!H66</f>
        <v>8</v>
      </c>
      <c r="G52" s="9" t="s">
        <v>53</v>
      </c>
      <c r="H52" s="551">
        <v>0</v>
      </c>
      <c r="I52" s="551">
        <v>0</v>
      </c>
      <c r="J52" s="546">
        <f>(I52+H52)*F52</f>
        <v>0</v>
      </c>
      <c r="K52" s="480"/>
    </row>
    <row r="53" spans="2:11">
      <c r="B53" s="66" t="s">
        <v>59</v>
      </c>
      <c r="C53" s="41" t="s">
        <v>36</v>
      </c>
      <c r="D53" s="54">
        <v>72252</v>
      </c>
      <c r="E53" s="24" t="s">
        <v>95</v>
      </c>
      <c r="F53" s="43">
        <f>'Memória de cálculo'!H69</f>
        <v>4</v>
      </c>
      <c r="G53" s="9" t="s">
        <v>53</v>
      </c>
      <c r="H53" s="551">
        <v>0</v>
      </c>
      <c r="I53" s="551">
        <v>0</v>
      </c>
      <c r="J53" s="546">
        <f t="shared" ref="J53:J55" si="3">(I53+H53)*F53</f>
        <v>0</v>
      </c>
      <c r="K53" s="480"/>
    </row>
    <row r="54" spans="2:11" ht="31.5" customHeight="1">
      <c r="B54" s="66" t="s">
        <v>60</v>
      </c>
      <c r="C54" s="41" t="s">
        <v>36</v>
      </c>
      <c r="D54" s="41">
        <v>71610</v>
      </c>
      <c r="E54" s="42" t="s">
        <v>97</v>
      </c>
      <c r="F54" s="43">
        <f>'Memória de cálculo'!H73</f>
        <v>2</v>
      </c>
      <c r="G54" s="9" t="s">
        <v>53</v>
      </c>
      <c r="H54" s="551">
        <v>0</v>
      </c>
      <c r="I54" s="551">
        <v>0</v>
      </c>
      <c r="J54" s="546">
        <f t="shared" si="3"/>
        <v>0</v>
      </c>
      <c r="K54" s="480"/>
    </row>
    <row r="55" spans="2:11">
      <c r="B55" s="66" t="s">
        <v>61</v>
      </c>
      <c r="C55" s="54" t="s">
        <v>36</v>
      </c>
      <c r="D55" s="54">
        <v>71567</v>
      </c>
      <c r="E55" s="24" t="s">
        <v>100</v>
      </c>
      <c r="F55" s="43">
        <f>'Memória de cálculo'!H77</f>
        <v>2</v>
      </c>
      <c r="G55" s="4" t="s">
        <v>53</v>
      </c>
      <c r="H55" s="551">
        <v>0</v>
      </c>
      <c r="I55" s="551">
        <v>0</v>
      </c>
      <c r="J55" s="546">
        <f t="shared" si="3"/>
        <v>0</v>
      </c>
      <c r="K55" s="480"/>
    </row>
    <row r="56" spans="2:11" ht="15.75" thickBot="1">
      <c r="B56" s="438" t="s">
        <v>31</v>
      </c>
      <c r="C56" s="439"/>
      <c r="D56" s="439"/>
      <c r="E56" s="439"/>
      <c r="F56" s="439"/>
      <c r="G56" s="439"/>
      <c r="H56" s="439"/>
      <c r="I56" s="440"/>
      <c r="J56" s="65">
        <f>SUM(J52:J55)</f>
        <v>0</v>
      </c>
      <c r="K56" s="223">
        <f>J56+(J56*0.273)</f>
        <v>0</v>
      </c>
    </row>
    <row r="57" spans="2:11" ht="16.5" customHeight="1" thickBot="1">
      <c r="B57" s="474" t="s">
        <v>101</v>
      </c>
      <c r="C57" s="475"/>
      <c r="D57" s="475"/>
      <c r="E57" s="475"/>
      <c r="F57" s="475"/>
      <c r="G57" s="475"/>
      <c r="H57" s="475"/>
      <c r="I57" s="475"/>
      <c r="J57" s="475"/>
      <c r="K57" s="500"/>
    </row>
    <row r="58" spans="2:11" ht="15.75" customHeight="1">
      <c r="B58" s="96">
        <v>4</v>
      </c>
      <c r="C58" s="50" t="s">
        <v>36</v>
      </c>
      <c r="D58" s="118">
        <v>80000</v>
      </c>
      <c r="E58" s="116" t="s">
        <v>102</v>
      </c>
      <c r="F58" s="358"/>
      <c r="G58" s="358"/>
      <c r="H58" s="358"/>
      <c r="I58" s="358"/>
      <c r="J58" s="358"/>
      <c r="K58" s="463"/>
    </row>
    <row r="59" spans="2:11" ht="15.75" customHeight="1">
      <c r="B59" s="91" t="s">
        <v>41</v>
      </c>
      <c r="C59" s="54" t="s">
        <v>36</v>
      </c>
      <c r="D59" s="92">
        <v>80500</v>
      </c>
      <c r="E59" s="93" t="s">
        <v>103</v>
      </c>
      <c r="F59" s="360"/>
      <c r="G59" s="360"/>
      <c r="H59" s="360"/>
      <c r="I59" s="360"/>
      <c r="J59" s="360"/>
      <c r="K59" s="463"/>
    </row>
    <row r="60" spans="2:11" ht="15.75" customHeight="1">
      <c r="B60" s="91" t="s">
        <v>42</v>
      </c>
      <c r="C60" s="54" t="s">
        <v>36</v>
      </c>
      <c r="D60" s="92">
        <v>80501</v>
      </c>
      <c r="E60" s="94" t="s">
        <v>104</v>
      </c>
      <c r="F60" s="360"/>
      <c r="G60" s="360"/>
      <c r="H60" s="360"/>
      <c r="I60" s="360"/>
      <c r="J60" s="360"/>
      <c r="K60" s="463"/>
    </row>
    <row r="61" spans="2:11" ht="16.5" customHeight="1">
      <c r="B61" s="91" t="s">
        <v>105</v>
      </c>
      <c r="C61" s="54" t="s">
        <v>36</v>
      </c>
      <c r="D61" s="92">
        <v>80514</v>
      </c>
      <c r="E61" s="94" t="s">
        <v>106</v>
      </c>
      <c r="F61" s="95">
        <f>'Memória de cálculo'!H84</f>
        <v>1</v>
      </c>
      <c r="G61" s="9" t="s">
        <v>53</v>
      </c>
      <c r="H61" s="552">
        <v>0</v>
      </c>
      <c r="I61" s="552">
        <v>0</v>
      </c>
      <c r="J61" s="546">
        <f>(I61+H61)*F61</f>
        <v>0</v>
      </c>
      <c r="K61" s="463"/>
    </row>
    <row r="62" spans="2:11" ht="16.5" customHeight="1">
      <c r="B62" s="91" t="s">
        <v>107</v>
      </c>
      <c r="C62" s="54" t="s">
        <v>36</v>
      </c>
      <c r="D62" s="92">
        <v>80515</v>
      </c>
      <c r="E62" s="94" t="s">
        <v>114</v>
      </c>
      <c r="F62" s="95">
        <f>'Memória de cálculo'!H87</f>
        <v>1</v>
      </c>
      <c r="G62" s="9" t="s">
        <v>53</v>
      </c>
      <c r="H62" s="552">
        <v>0</v>
      </c>
      <c r="I62" s="552">
        <v>0</v>
      </c>
      <c r="J62" s="546">
        <f>(I62+H62)*F62</f>
        <v>0</v>
      </c>
      <c r="K62" s="463"/>
    </row>
    <row r="63" spans="2:11" ht="16.5" customHeight="1">
      <c r="B63" s="91" t="s">
        <v>109</v>
      </c>
      <c r="C63" s="54" t="s">
        <v>36</v>
      </c>
      <c r="D63" s="92">
        <v>80526</v>
      </c>
      <c r="E63" s="94" t="s">
        <v>297</v>
      </c>
      <c r="F63" s="95">
        <f>'Memória de cálculo'!H91</f>
        <v>5</v>
      </c>
      <c r="G63" s="9" t="s">
        <v>298</v>
      </c>
      <c r="H63" s="552">
        <v>0</v>
      </c>
      <c r="I63" s="552">
        <v>0</v>
      </c>
      <c r="J63" s="546">
        <f>(I63+H63)*F63</f>
        <v>0</v>
      </c>
      <c r="K63" s="463"/>
    </row>
    <row r="64" spans="2:11" ht="16.5" customHeight="1">
      <c r="B64" s="91" t="s">
        <v>111</v>
      </c>
      <c r="C64" s="54" t="s">
        <v>36</v>
      </c>
      <c r="D64" s="92">
        <v>80532</v>
      </c>
      <c r="E64" s="94" t="s">
        <v>299</v>
      </c>
      <c r="F64" s="95">
        <f>'Memória de cálculo'!H95</f>
        <v>5</v>
      </c>
      <c r="G64" s="9" t="s">
        <v>167</v>
      </c>
      <c r="H64" s="552">
        <v>0</v>
      </c>
      <c r="I64" s="552">
        <v>0</v>
      </c>
      <c r="J64" s="546">
        <f>(I64+H64)*F64</f>
        <v>0</v>
      </c>
      <c r="K64" s="463"/>
    </row>
    <row r="65" spans="2:11" ht="15.75" customHeight="1">
      <c r="B65" s="91" t="s">
        <v>112</v>
      </c>
      <c r="C65" s="54" t="s">
        <v>36</v>
      </c>
      <c r="D65" s="92">
        <v>80540</v>
      </c>
      <c r="E65" s="94" t="s">
        <v>108</v>
      </c>
      <c r="F65" s="92"/>
      <c r="G65" s="92"/>
      <c r="H65" s="552"/>
      <c r="I65" s="552"/>
      <c r="J65" s="546"/>
      <c r="K65" s="463"/>
    </row>
    <row r="66" spans="2:11" ht="15.75" customHeight="1">
      <c r="B66" s="91" t="s">
        <v>113</v>
      </c>
      <c r="C66" s="54" t="s">
        <v>36</v>
      </c>
      <c r="D66" s="92">
        <v>80570</v>
      </c>
      <c r="E66" s="94" t="s">
        <v>110</v>
      </c>
      <c r="F66" s="95">
        <f>'Memória de cálculo'!H101</f>
        <v>4</v>
      </c>
      <c r="G66" s="9" t="s">
        <v>53</v>
      </c>
      <c r="H66" s="552">
        <v>0</v>
      </c>
      <c r="I66" s="552">
        <v>0</v>
      </c>
      <c r="J66" s="546">
        <f t="shared" ref="J66" si="4">(I66+H66)*F66</f>
        <v>0</v>
      </c>
      <c r="K66" s="463"/>
    </row>
    <row r="67" spans="2:11">
      <c r="B67" s="91" t="s">
        <v>117</v>
      </c>
      <c r="C67" s="54" t="s">
        <v>36</v>
      </c>
      <c r="D67" s="92">
        <v>80650</v>
      </c>
      <c r="E67" s="94" t="s">
        <v>116</v>
      </c>
      <c r="F67" s="92"/>
      <c r="G67" s="92"/>
      <c r="H67" s="552"/>
      <c r="I67" s="552"/>
      <c r="J67" s="546"/>
      <c r="K67" s="463"/>
    </row>
    <row r="68" spans="2:11" ht="15.75" customHeight="1">
      <c r="B68" s="91" t="s">
        <v>119</v>
      </c>
      <c r="C68" s="54" t="s">
        <v>36</v>
      </c>
      <c r="D68" s="92">
        <v>80671</v>
      </c>
      <c r="E68" s="94" t="s">
        <v>386</v>
      </c>
      <c r="F68" s="95">
        <f>'Memória de cálculo'!H105</f>
        <v>1</v>
      </c>
      <c r="G68" s="258" t="s">
        <v>387</v>
      </c>
      <c r="H68" s="552">
        <v>0</v>
      </c>
      <c r="I68" s="552">
        <v>0</v>
      </c>
      <c r="J68" s="546">
        <f>(I68+H68)*F68</f>
        <v>0</v>
      </c>
      <c r="K68" s="463"/>
    </row>
    <row r="69" spans="2:11" ht="15.75" customHeight="1">
      <c r="B69" s="91" t="s">
        <v>302</v>
      </c>
      <c r="C69" s="54" t="s">
        <v>36</v>
      </c>
      <c r="D69" s="92">
        <v>80900</v>
      </c>
      <c r="E69" s="94" t="s">
        <v>118</v>
      </c>
      <c r="F69" s="95"/>
      <c r="G69" s="4"/>
      <c r="H69" s="552"/>
      <c r="I69" s="552"/>
      <c r="J69" s="546"/>
      <c r="K69" s="463"/>
    </row>
    <row r="70" spans="2:11" ht="15.75" customHeight="1">
      <c r="B70" s="91" t="s">
        <v>303</v>
      </c>
      <c r="C70" s="54" t="s">
        <v>36</v>
      </c>
      <c r="D70" s="92">
        <v>80946</v>
      </c>
      <c r="E70" s="94" t="s">
        <v>120</v>
      </c>
      <c r="F70" s="95">
        <f>'Memória de cálculo'!H109</f>
        <v>1</v>
      </c>
      <c r="G70" s="4" t="s">
        <v>53</v>
      </c>
      <c r="H70" s="552">
        <v>0</v>
      </c>
      <c r="I70" s="552">
        <v>0</v>
      </c>
      <c r="J70" s="546">
        <f t="shared" ref="J70" si="5">(I70+H70)*F70</f>
        <v>0</v>
      </c>
      <c r="K70" s="464"/>
    </row>
    <row r="71" spans="2:11" ht="15.75" customHeight="1" thickBot="1">
      <c r="B71" s="438" t="s">
        <v>31</v>
      </c>
      <c r="C71" s="439"/>
      <c r="D71" s="439"/>
      <c r="E71" s="439"/>
      <c r="F71" s="439"/>
      <c r="G71" s="439"/>
      <c r="H71" s="439"/>
      <c r="I71" s="440"/>
      <c r="J71" s="65">
        <f>SUM(J61:J70)</f>
        <v>0</v>
      </c>
      <c r="K71" s="223">
        <f>J71+(J71*0.273)</f>
        <v>0</v>
      </c>
    </row>
    <row r="72" spans="2:11" ht="15.75" thickBot="1">
      <c r="B72" s="474" t="s">
        <v>121</v>
      </c>
      <c r="C72" s="475"/>
      <c r="D72" s="475"/>
      <c r="E72" s="475"/>
      <c r="F72" s="475"/>
      <c r="G72" s="475"/>
      <c r="H72" s="475"/>
      <c r="I72" s="475"/>
      <c r="J72" s="475"/>
      <c r="K72" s="500"/>
    </row>
    <row r="73" spans="2:11" ht="27.75" customHeight="1">
      <c r="B73" s="96">
        <v>5</v>
      </c>
      <c r="C73" s="118" t="s">
        <v>36</v>
      </c>
      <c r="D73" s="118">
        <v>180000</v>
      </c>
      <c r="E73" s="116" t="s">
        <v>122</v>
      </c>
      <c r="F73" s="526"/>
      <c r="G73" s="527"/>
      <c r="H73" s="527"/>
      <c r="I73" s="527"/>
      <c r="J73" s="527"/>
      <c r="K73" s="528"/>
    </row>
    <row r="74" spans="2:11">
      <c r="B74" s="97" t="s">
        <v>54</v>
      </c>
      <c r="C74" s="54" t="s">
        <v>36</v>
      </c>
      <c r="D74" s="59">
        <v>180515</v>
      </c>
      <c r="E74" s="60" t="s">
        <v>123</v>
      </c>
      <c r="F74" s="56">
        <f>'Memória de cálculo'!H114</f>
        <v>4.41</v>
      </c>
      <c r="G74" s="59" t="s">
        <v>30</v>
      </c>
      <c r="H74" s="547">
        <v>0</v>
      </c>
      <c r="I74" s="547">
        <v>0</v>
      </c>
      <c r="J74" s="546">
        <f>(I74+H74)*F74</f>
        <v>0</v>
      </c>
      <c r="K74" s="226"/>
    </row>
    <row r="75" spans="2:11" ht="15.75" thickBot="1">
      <c r="B75" s="438" t="s">
        <v>31</v>
      </c>
      <c r="C75" s="439"/>
      <c r="D75" s="439"/>
      <c r="E75" s="439"/>
      <c r="F75" s="439"/>
      <c r="G75" s="439"/>
      <c r="H75" s="439"/>
      <c r="I75" s="440"/>
      <c r="J75" s="65">
        <f>SUM(J74:J74)</f>
        <v>0</v>
      </c>
      <c r="K75" s="224">
        <f>J75+(J75*0.273)</f>
        <v>0</v>
      </c>
    </row>
    <row r="76" spans="2:11" ht="15.75" thickBot="1">
      <c r="B76" s="334" t="s">
        <v>124</v>
      </c>
      <c r="C76" s="335"/>
      <c r="D76" s="335"/>
      <c r="E76" s="335"/>
      <c r="F76" s="335"/>
      <c r="G76" s="335"/>
      <c r="H76" s="335"/>
      <c r="I76" s="335"/>
      <c r="J76" s="335"/>
      <c r="K76" s="336"/>
    </row>
    <row r="77" spans="2:11" ht="15.75" customHeight="1">
      <c r="B77" s="96">
        <v>6</v>
      </c>
      <c r="C77" s="118" t="s">
        <v>36</v>
      </c>
      <c r="D77" s="118">
        <v>190000</v>
      </c>
      <c r="E77" s="116" t="s">
        <v>125</v>
      </c>
      <c r="F77" s="526"/>
      <c r="G77" s="527"/>
      <c r="H77" s="527"/>
      <c r="I77" s="527"/>
      <c r="J77" s="527"/>
      <c r="K77" s="528"/>
    </row>
    <row r="78" spans="2:11">
      <c r="B78" s="97" t="s">
        <v>20</v>
      </c>
      <c r="C78" s="54" t="s">
        <v>36</v>
      </c>
      <c r="D78" s="59">
        <v>190102</v>
      </c>
      <c r="E78" s="60" t="s">
        <v>126</v>
      </c>
      <c r="F78" s="56">
        <f>'Memória de cálculo'!H119</f>
        <v>4.41</v>
      </c>
      <c r="G78" s="59" t="s">
        <v>30</v>
      </c>
      <c r="H78" s="547">
        <v>0</v>
      </c>
      <c r="I78" s="547">
        <v>0</v>
      </c>
      <c r="J78" s="546">
        <f>(I78+H78)*F78</f>
        <v>0</v>
      </c>
      <c r="K78" s="529"/>
    </row>
    <row r="79" spans="2:11">
      <c r="B79" s="97" t="s">
        <v>55</v>
      </c>
      <c r="C79" s="54" t="s">
        <v>36</v>
      </c>
      <c r="D79" s="59">
        <v>190109</v>
      </c>
      <c r="E79" s="60" t="s">
        <v>127</v>
      </c>
      <c r="F79" s="56">
        <f>'Memória de cálculo'!H122</f>
        <v>0.44999999999999996</v>
      </c>
      <c r="G79" s="59" t="s">
        <v>30</v>
      </c>
      <c r="H79" s="547">
        <v>0</v>
      </c>
      <c r="I79" s="547">
        <v>0</v>
      </c>
      <c r="J79" s="546">
        <f>(I79+H79)*F79</f>
        <v>0</v>
      </c>
      <c r="K79" s="529"/>
    </row>
    <row r="80" spans="2:11" ht="15.75" thickBot="1">
      <c r="B80" s="438" t="s">
        <v>31</v>
      </c>
      <c r="C80" s="439"/>
      <c r="D80" s="439"/>
      <c r="E80" s="439"/>
      <c r="F80" s="439"/>
      <c r="G80" s="439"/>
      <c r="H80" s="439"/>
      <c r="I80" s="440"/>
      <c r="J80" s="65">
        <f>SUM(J78:J78)</f>
        <v>0</v>
      </c>
      <c r="K80" s="224">
        <f>J80+(J80*0.273)</f>
        <v>0</v>
      </c>
    </row>
    <row r="81" spans="2:11" ht="15.75" thickBot="1">
      <c r="B81" s="334" t="s">
        <v>52</v>
      </c>
      <c r="C81" s="335"/>
      <c r="D81" s="335"/>
      <c r="E81" s="335"/>
      <c r="F81" s="335"/>
      <c r="G81" s="335"/>
      <c r="H81" s="335"/>
      <c r="I81" s="335"/>
      <c r="J81" s="335"/>
      <c r="K81" s="336"/>
    </row>
    <row r="82" spans="2:11" ht="18.75" customHeight="1">
      <c r="B82" s="96">
        <v>7</v>
      </c>
      <c r="C82" s="118" t="s">
        <v>36</v>
      </c>
      <c r="D82" s="118">
        <v>220000</v>
      </c>
      <c r="E82" s="116" t="s">
        <v>51</v>
      </c>
      <c r="F82" s="526"/>
      <c r="G82" s="527"/>
      <c r="H82" s="527"/>
      <c r="I82" s="527"/>
      <c r="J82" s="527"/>
      <c r="K82" s="528"/>
    </row>
    <row r="83" spans="2:11" ht="43.5" customHeight="1">
      <c r="B83" s="97" t="s">
        <v>21</v>
      </c>
      <c r="C83" s="59" t="s">
        <v>130</v>
      </c>
      <c r="D83" s="59">
        <v>87267</v>
      </c>
      <c r="E83" s="60" t="s">
        <v>291</v>
      </c>
      <c r="F83" s="56">
        <f>'Memória de cálculo'!H130</f>
        <v>19.979999999999997</v>
      </c>
      <c r="G83" s="59" t="s">
        <v>131</v>
      </c>
      <c r="H83" s="544">
        <v>0</v>
      </c>
      <c r="I83" s="545"/>
      <c r="J83" s="546">
        <f>H83*F83</f>
        <v>0</v>
      </c>
      <c r="K83" s="524"/>
    </row>
    <row r="84" spans="2:11">
      <c r="B84" s="97" t="s">
        <v>62</v>
      </c>
      <c r="C84" s="59" t="s">
        <v>36</v>
      </c>
      <c r="D84" s="59">
        <v>220310</v>
      </c>
      <c r="E84" s="60" t="s">
        <v>155</v>
      </c>
      <c r="F84" s="56">
        <f>'Memória de cálculo'!H136</f>
        <v>59.499999999999993</v>
      </c>
      <c r="G84" s="59" t="s">
        <v>156</v>
      </c>
      <c r="H84" s="547">
        <v>0</v>
      </c>
      <c r="I84" s="546">
        <v>0</v>
      </c>
      <c r="J84" s="546">
        <f>(I84+H84)*F84</f>
        <v>0</v>
      </c>
      <c r="K84" s="525"/>
    </row>
    <row r="85" spans="2:11" ht="15.75" thickBot="1">
      <c r="B85" s="438" t="s">
        <v>31</v>
      </c>
      <c r="C85" s="439"/>
      <c r="D85" s="439"/>
      <c r="E85" s="439"/>
      <c r="F85" s="439"/>
      <c r="G85" s="439"/>
      <c r="H85" s="439"/>
      <c r="I85" s="440"/>
      <c r="J85" s="65">
        <f>SUM(J83:J84)</f>
        <v>0</v>
      </c>
      <c r="K85" s="224">
        <f>J85+(J85*0.273)</f>
        <v>0</v>
      </c>
    </row>
    <row r="86" spans="2:11" ht="15.75" thickBot="1">
      <c r="B86" s="334" t="s">
        <v>33</v>
      </c>
      <c r="C86" s="335"/>
      <c r="D86" s="335"/>
      <c r="E86" s="335"/>
      <c r="F86" s="335"/>
      <c r="G86" s="335"/>
      <c r="H86" s="335"/>
      <c r="I86" s="335"/>
      <c r="J86" s="335"/>
      <c r="K86" s="336"/>
    </row>
    <row r="87" spans="2:11" ht="15.75" customHeight="1">
      <c r="B87" s="49">
        <v>8</v>
      </c>
      <c r="C87" s="50" t="s">
        <v>36</v>
      </c>
      <c r="D87" s="51">
        <v>260000</v>
      </c>
      <c r="E87" s="470" t="s">
        <v>34</v>
      </c>
      <c r="F87" s="471"/>
      <c r="G87" s="471"/>
      <c r="H87" s="471"/>
      <c r="I87" s="471"/>
      <c r="J87" s="471"/>
      <c r="K87" s="472"/>
    </row>
    <row r="88" spans="2:11" ht="15.75" customHeight="1">
      <c r="B88" s="16" t="s">
        <v>151</v>
      </c>
      <c r="C88" s="54" t="s">
        <v>36</v>
      </c>
      <c r="D88" s="69">
        <v>261001</v>
      </c>
      <c r="E88" s="60" t="s">
        <v>35</v>
      </c>
      <c r="F88" s="56">
        <f>'Memória de cálculo'!H186</f>
        <v>567.85099999999989</v>
      </c>
      <c r="G88" s="59" t="s">
        <v>30</v>
      </c>
      <c r="H88" s="547">
        <v>0</v>
      </c>
      <c r="I88" s="547">
        <v>0</v>
      </c>
      <c r="J88" s="553">
        <f>(I88+H88)*F88</f>
        <v>0</v>
      </c>
      <c r="K88" s="473"/>
    </row>
    <row r="89" spans="2:11" ht="15.75" customHeight="1">
      <c r="B89" s="16" t="s">
        <v>152</v>
      </c>
      <c r="C89" s="54" t="s">
        <v>36</v>
      </c>
      <c r="D89" s="69">
        <v>261548</v>
      </c>
      <c r="E89" s="60" t="s">
        <v>171</v>
      </c>
      <c r="F89" s="56">
        <f>'Memória de cálculo'!H193</f>
        <v>67.999999999999986</v>
      </c>
      <c r="G89" s="59" t="s">
        <v>30</v>
      </c>
      <c r="H89" s="547">
        <v>0</v>
      </c>
      <c r="I89" s="547">
        <v>0</v>
      </c>
      <c r="J89" s="553">
        <f>(I89+H89)*F89</f>
        <v>0</v>
      </c>
      <c r="K89" s="463"/>
    </row>
    <row r="90" spans="2:11" ht="15.75" customHeight="1">
      <c r="B90" s="16" t="s">
        <v>173</v>
      </c>
      <c r="C90" s="54" t="s">
        <v>36</v>
      </c>
      <c r="D90" s="54">
        <v>261502</v>
      </c>
      <c r="E90" s="70" t="s">
        <v>147</v>
      </c>
      <c r="F90" s="71">
        <f>'Memória de cálculo'!H225</f>
        <v>128.03299999999999</v>
      </c>
      <c r="G90" s="69" t="s">
        <v>140</v>
      </c>
      <c r="H90" s="546">
        <v>0</v>
      </c>
      <c r="I90" s="546">
        <v>0</v>
      </c>
      <c r="J90" s="553">
        <f>(I90+H90)*F90</f>
        <v>0</v>
      </c>
      <c r="K90" s="463"/>
    </row>
    <row r="91" spans="2:11" ht="15.75" thickBot="1">
      <c r="B91" s="438" t="s">
        <v>31</v>
      </c>
      <c r="C91" s="439"/>
      <c r="D91" s="439"/>
      <c r="E91" s="439"/>
      <c r="F91" s="439"/>
      <c r="G91" s="439"/>
      <c r="H91" s="439"/>
      <c r="I91" s="440"/>
      <c r="J91" s="65">
        <f>SUM(J88:J90)</f>
        <v>0</v>
      </c>
      <c r="K91" s="225">
        <f>J91+(J91*0.273)</f>
        <v>0</v>
      </c>
    </row>
    <row r="92" spans="2:11" ht="15" customHeight="1" thickBot="1">
      <c r="B92" s="334" t="s">
        <v>37</v>
      </c>
      <c r="C92" s="335"/>
      <c r="D92" s="335"/>
      <c r="E92" s="335"/>
      <c r="F92" s="335"/>
      <c r="G92" s="335"/>
      <c r="H92" s="335"/>
      <c r="I92" s="335"/>
      <c r="J92" s="335"/>
      <c r="K92" s="506"/>
    </row>
    <row r="93" spans="2:11" ht="15" customHeight="1">
      <c r="B93" s="49">
        <v>9</v>
      </c>
      <c r="C93" s="72" t="s">
        <v>36</v>
      </c>
      <c r="D93" s="51">
        <v>270000</v>
      </c>
      <c r="E93" s="73" t="s">
        <v>38</v>
      </c>
      <c r="F93" s="74"/>
      <c r="G93" s="74"/>
      <c r="H93" s="75"/>
      <c r="I93" s="75"/>
      <c r="J93" s="75"/>
      <c r="K93" s="463"/>
    </row>
    <row r="94" spans="2:11">
      <c r="B94" s="66" t="s">
        <v>56</v>
      </c>
      <c r="C94" s="54" t="s">
        <v>36</v>
      </c>
      <c r="D94" s="54">
        <v>270501</v>
      </c>
      <c r="E94" s="24" t="s">
        <v>63</v>
      </c>
      <c r="F94" s="43">
        <v>290</v>
      </c>
      <c r="G94" s="54" t="s">
        <v>50</v>
      </c>
      <c r="H94" s="551">
        <v>0</v>
      </c>
      <c r="I94" s="551">
        <v>0</v>
      </c>
      <c r="J94" s="546">
        <f>(H94+I94)*F94</f>
        <v>0</v>
      </c>
      <c r="K94" s="463"/>
    </row>
    <row r="95" spans="2:11">
      <c r="B95" s="66" t="s">
        <v>57</v>
      </c>
      <c r="C95" s="54" t="s">
        <v>36</v>
      </c>
      <c r="D95" s="54">
        <v>270502</v>
      </c>
      <c r="E95" s="24" t="s">
        <v>148</v>
      </c>
      <c r="F95" s="43">
        <f>'Memória de cálculo'!H242</f>
        <v>280.685</v>
      </c>
      <c r="G95" s="54" t="s">
        <v>30</v>
      </c>
      <c r="H95" s="551">
        <v>0</v>
      </c>
      <c r="I95" s="551">
        <v>0</v>
      </c>
      <c r="J95" s="546">
        <f>(H95+I95)*F95</f>
        <v>0</v>
      </c>
      <c r="K95" s="463"/>
    </row>
    <row r="96" spans="2:11" ht="15" customHeight="1">
      <c r="B96" s="66" t="s">
        <v>153</v>
      </c>
      <c r="C96" s="54" t="s">
        <v>36</v>
      </c>
      <c r="D96" s="54">
        <v>270810</v>
      </c>
      <c r="E96" s="24" t="s">
        <v>43</v>
      </c>
      <c r="F96" s="43">
        <f>'Memória de cálculo'!E243</f>
        <v>1</v>
      </c>
      <c r="G96" s="4" t="s">
        <v>53</v>
      </c>
      <c r="H96" s="551">
        <v>0</v>
      </c>
      <c r="I96" s="551">
        <v>0</v>
      </c>
      <c r="J96" s="546">
        <f>(H96+I96)*F96</f>
        <v>0</v>
      </c>
      <c r="K96" s="464"/>
    </row>
    <row r="97" spans="2:11" ht="15.75" thickBot="1">
      <c r="B97" s="438" t="s">
        <v>31</v>
      </c>
      <c r="C97" s="439"/>
      <c r="D97" s="439"/>
      <c r="E97" s="439"/>
      <c r="F97" s="439"/>
      <c r="G97" s="439"/>
      <c r="H97" s="439"/>
      <c r="I97" s="440"/>
      <c r="J97" s="65">
        <f>SUM(J94:J96)</f>
        <v>0</v>
      </c>
      <c r="K97" s="223">
        <f>J97+(J97*0.273)</f>
        <v>0</v>
      </c>
    </row>
    <row r="98" spans="2:11" ht="15.75" customHeight="1" thickBot="1">
      <c r="B98" s="534" t="s">
        <v>39</v>
      </c>
      <c r="C98" s="535"/>
      <c r="D98" s="535"/>
      <c r="E98" s="535"/>
      <c r="F98" s="535"/>
      <c r="G98" s="535"/>
      <c r="H98" s="535"/>
      <c r="I98" s="535"/>
      <c r="J98" s="535"/>
      <c r="K98" s="536"/>
    </row>
    <row r="99" spans="2:11" ht="15" customHeight="1">
      <c r="B99" s="518" t="s">
        <v>15</v>
      </c>
      <c r="C99" s="519"/>
      <c r="D99" s="519"/>
      <c r="E99" s="519"/>
      <c r="F99" s="519"/>
      <c r="G99" s="519"/>
      <c r="H99" s="519"/>
      <c r="I99" s="520"/>
      <c r="J99" s="76">
        <f>SUM(J97,J91,J85,J80,J75,J71,J56,J49,J45,)</f>
        <v>0</v>
      </c>
      <c r="K99" s="504"/>
    </row>
    <row r="100" spans="2:11" ht="15" customHeight="1">
      <c r="B100" s="521" t="s">
        <v>40</v>
      </c>
      <c r="C100" s="522"/>
      <c r="D100" s="522"/>
      <c r="E100" s="522"/>
      <c r="F100" s="522"/>
      <c r="G100" s="522"/>
      <c r="H100" s="522"/>
      <c r="I100" s="523"/>
      <c r="J100" s="77">
        <f>(J99*0.273)</f>
        <v>0</v>
      </c>
      <c r="K100" s="505"/>
    </row>
    <row r="101" spans="2:11" ht="15.75" customHeight="1" thickBot="1">
      <c r="B101" s="501" t="s">
        <v>29</v>
      </c>
      <c r="C101" s="502"/>
      <c r="D101" s="502"/>
      <c r="E101" s="502"/>
      <c r="F101" s="502"/>
      <c r="G101" s="502"/>
      <c r="H101" s="502"/>
      <c r="I101" s="503"/>
      <c r="J101" s="78">
        <f>SUM(J99,J100)</f>
        <v>0</v>
      </c>
      <c r="K101" s="222">
        <f>K97+K91+K85+K80+K71+K56+K49+K45+K75</f>
        <v>0</v>
      </c>
    </row>
    <row r="102" spans="2:11" ht="15.75" thickBot="1">
      <c r="B102" s="320" t="s">
        <v>161</v>
      </c>
      <c r="C102" s="321"/>
      <c r="D102" s="321"/>
      <c r="E102" s="321"/>
      <c r="F102" s="321"/>
      <c r="G102" s="321"/>
      <c r="H102" s="321"/>
      <c r="I102" s="321"/>
      <c r="J102" s="321"/>
      <c r="K102" s="420"/>
    </row>
    <row r="103" spans="2:11" ht="15.75" thickBot="1">
      <c r="B103" s="320" t="s">
        <v>162</v>
      </c>
      <c r="C103" s="321"/>
      <c r="D103" s="321"/>
      <c r="E103" s="321"/>
      <c r="F103" s="321"/>
      <c r="G103" s="321"/>
      <c r="H103" s="321"/>
      <c r="I103" s="321"/>
      <c r="J103" s="321"/>
      <c r="K103" s="420"/>
    </row>
    <row r="104" spans="2:11" ht="15.75" thickBot="1">
      <c r="B104" s="44" t="s">
        <v>3</v>
      </c>
      <c r="C104" s="374" t="s">
        <v>24</v>
      </c>
      <c r="D104" s="488"/>
      <c r="E104" s="114" t="s">
        <v>4</v>
      </c>
      <c r="F104" s="45" t="s">
        <v>25</v>
      </c>
      <c r="G104" s="46" t="s">
        <v>26</v>
      </c>
      <c r="H104" s="47" t="s">
        <v>27</v>
      </c>
      <c r="I104" s="47" t="s">
        <v>28</v>
      </c>
      <c r="J104" s="48" t="s">
        <v>15</v>
      </c>
      <c r="K104" s="221" t="s">
        <v>29</v>
      </c>
    </row>
    <row r="105" spans="2:11" ht="15.75" thickBot="1">
      <c r="B105" s="485" t="s">
        <v>7</v>
      </c>
      <c r="C105" s="486"/>
      <c r="D105" s="486"/>
      <c r="E105" s="486"/>
      <c r="F105" s="486"/>
      <c r="G105" s="486"/>
      <c r="H105" s="486"/>
      <c r="I105" s="486"/>
      <c r="J105" s="486"/>
      <c r="K105" s="487"/>
    </row>
    <row r="106" spans="2:11">
      <c r="B106" s="49">
        <v>1</v>
      </c>
      <c r="C106" s="50" t="s">
        <v>36</v>
      </c>
      <c r="D106" s="51">
        <v>20000</v>
      </c>
      <c r="E106" s="470" t="s">
        <v>8</v>
      </c>
      <c r="F106" s="471"/>
      <c r="G106" s="471"/>
      <c r="H106" s="471"/>
      <c r="I106" s="471"/>
      <c r="J106" s="471"/>
      <c r="K106" s="472"/>
    </row>
    <row r="107" spans="2:11" ht="30.75" customHeight="1">
      <c r="B107" s="52" t="s">
        <v>12</v>
      </c>
      <c r="C107" s="31" t="s">
        <v>36</v>
      </c>
      <c r="D107" s="59">
        <v>20148</v>
      </c>
      <c r="E107" s="60" t="s">
        <v>163</v>
      </c>
      <c r="F107" s="56">
        <f>'Memória de cálculo'!H255</f>
        <v>140.88500000000002</v>
      </c>
      <c r="G107" s="59" t="s">
        <v>140</v>
      </c>
      <c r="H107" s="554">
        <v>0</v>
      </c>
      <c r="I107" s="555">
        <v>0</v>
      </c>
      <c r="J107" s="546">
        <f t="shared" ref="J107" si="6">(I107+H107)*F107</f>
        <v>0</v>
      </c>
      <c r="K107" s="227"/>
    </row>
    <row r="108" spans="2:11" ht="15.75" thickBot="1">
      <c r="B108" s="481" t="s">
        <v>31</v>
      </c>
      <c r="C108" s="482"/>
      <c r="D108" s="482"/>
      <c r="E108" s="482"/>
      <c r="F108" s="482"/>
      <c r="G108" s="482"/>
      <c r="H108" s="482"/>
      <c r="I108" s="483"/>
      <c r="J108" s="62">
        <f>SUM(J107:J107)</f>
        <v>0</v>
      </c>
      <c r="K108" s="224">
        <f>J108+(J108*0.273)</f>
        <v>0</v>
      </c>
    </row>
    <row r="109" spans="2:11" ht="15.75" thickBot="1">
      <c r="B109" s="485" t="s">
        <v>16</v>
      </c>
      <c r="C109" s="486"/>
      <c r="D109" s="486"/>
      <c r="E109" s="486"/>
      <c r="F109" s="486"/>
      <c r="G109" s="486"/>
      <c r="H109" s="486"/>
      <c r="I109" s="486"/>
      <c r="J109" s="486"/>
      <c r="K109" s="487"/>
    </row>
    <row r="110" spans="2:11">
      <c r="B110" s="96">
        <v>2</v>
      </c>
      <c r="C110" s="50" t="s">
        <v>36</v>
      </c>
      <c r="D110" s="118">
        <v>30000</v>
      </c>
      <c r="E110" s="116" t="s">
        <v>17</v>
      </c>
      <c r="F110" s="32"/>
      <c r="G110" s="32"/>
      <c r="H110" s="35"/>
      <c r="I110" s="35"/>
      <c r="J110" s="36"/>
      <c r="K110" s="228"/>
    </row>
    <row r="111" spans="2:11" ht="35.25" customHeight="1">
      <c r="B111" s="91" t="s">
        <v>18</v>
      </c>
      <c r="C111" s="31" t="s">
        <v>36</v>
      </c>
      <c r="D111" s="32">
        <v>30105</v>
      </c>
      <c r="E111" s="33" t="s">
        <v>92</v>
      </c>
      <c r="F111" s="34">
        <f>'Memória de cálculo'!H259</f>
        <v>4</v>
      </c>
      <c r="G111" s="32" t="s">
        <v>93</v>
      </c>
      <c r="H111" s="549">
        <v>0</v>
      </c>
      <c r="I111" s="549">
        <v>0</v>
      </c>
      <c r="J111" s="550">
        <f>(I111+H111)*F111</f>
        <v>0</v>
      </c>
      <c r="K111" s="228"/>
    </row>
    <row r="112" spans="2:11" ht="15.75" thickBot="1">
      <c r="B112" s="481" t="s">
        <v>31</v>
      </c>
      <c r="C112" s="482"/>
      <c r="D112" s="482"/>
      <c r="E112" s="482"/>
      <c r="F112" s="482"/>
      <c r="G112" s="482"/>
      <c r="H112" s="482"/>
      <c r="I112" s="483"/>
      <c r="J112" s="62">
        <f>SUM(J110:J111)</f>
        <v>0</v>
      </c>
      <c r="K112" s="224">
        <f>J112+(J112*0.273)</f>
        <v>0</v>
      </c>
    </row>
    <row r="113" spans="2:11" ht="15.75" thickBot="1">
      <c r="B113" s="334" t="s">
        <v>19</v>
      </c>
      <c r="C113" s="335"/>
      <c r="D113" s="335"/>
      <c r="E113" s="335"/>
      <c r="F113" s="335"/>
      <c r="G113" s="335"/>
      <c r="H113" s="335"/>
      <c r="I113" s="335"/>
      <c r="J113" s="335"/>
      <c r="K113" s="336"/>
    </row>
    <row r="114" spans="2:11">
      <c r="B114" s="49">
        <v>3</v>
      </c>
      <c r="C114" s="50" t="s">
        <v>36</v>
      </c>
      <c r="D114" s="51">
        <v>70000</v>
      </c>
      <c r="E114" s="337" t="s">
        <v>32</v>
      </c>
      <c r="F114" s="338"/>
      <c r="G114" s="338"/>
      <c r="H114" s="338"/>
      <c r="I114" s="338"/>
      <c r="J114" s="338"/>
      <c r="K114" s="339"/>
    </row>
    <row r="115" spans="2:11">
      <c r="B115" s="66" t="s">
        <v>58</v>
      </c>
      <c r="C115" s="54" t="s">
        <v>36</v>
      </c>
      <c r="D115" s="54">
        <v>72578</v>
      </c>
      <c r="E115" s="24" t="s">
        <v>164</v>
      </c>
      <c r="F115" s="43">
        <f>'Memória de cálculo'!H265</f>
        <v>28</v>
      </c>
      <c r="G115" s="9" t="s">
        <v>53</v>
      </c>
      <c r="H115" s="551">
        <v>0</v>
      </c>
      <c r="I115" s="551">
        <v>0</v>
      </c>
      <c r="J115" s="546">
        <f>(I115+H115)*F115</f>
        <v>0</v>
      </c>
      <c r="K115" s="480"/>
    </row>
    <row r="116" spans="2:11" ht="38.25">
      <c r="B116" s="66" t="s">
        <v>59</v>
      </c>
      <c r="C116" s="41" t="s">
        <v>36</v>
      </c>
      <c r="D116" s="41">
        <v>71610</v>
      </c>
      <c r="E116" s="42" t="s">
        <v>97</v>
      </c>
      <c r="F116" s="43">
        <f>'Memória de cálculo'!H268</f>
        <v>2</v>
      </c>
      <c r="G116" s="9" t="s">
        <v>53</v>
      </c>
      <c r="H116" s="551">
        <v>0</v>
      </c>
      <c r="I116" s="551">
        <v>0</v>
      </c>
      <c r="J116" s="546">
        <f t="shared" ref="J116:J117" si="7">(I116+H116)*F116</f>
        <v>0</v>
      </c>
      <c r="K116" s="480"/>
    </row>
    <row r="117" spans="2:11">
      <c r="B117" s="66" t="s">
        <v>60</v>
      </c>
      <c r="C117" s="54" t="s">
        <v>36</v>
      </c>
      <c r="D117" s="54">
        <v>71567</v>
      </c>
      <c r="E117" s="24" t="s">
        <v>100</v>
      </c>
      <c r="F117" s="43">
        <f>'Memória de cálculo'!H271</f>
        <v>2</v>
      </c>
      <c r="G117" s="9" t="s">
        <v>53</v>
      </c>
      <c r="H117" s="551">
        <v>0</v>
      </c>
      <c r="I117" s="551">
        <v>0</v>
      </c>
      <c r="J117" s="546">
        <f t="shared" si="7"/>
        <v>0</v>
      </c>
      <c r="K117" s="480"/>
    </row>
    <row r="118" spans="2:11" ht="15.75" thickBot="1">
      <c r="B118" s="481" t="s">
        <v>31</v>
      </c>
      <c r="C118" s="482"/>
      <c r="D118" s="482"/>
      <c r="E118" s="482"/>
      <c r="F118" s="482"/>
      <c r="G118" s="482"/>
      <c r="H118" s="482"/>
      <c r="I118" s="483"/>
      <c r="J118" s="65">
        <f>SUM(J115:J117)</f>
        <v>0</v>
      </c>
      <c r="K118" s="223">
        <f>J118+(J118*0.273)</f>
        <v>0</v>
      </c>
    </row>
    <row r="119" spans="2:11" ht="15.75" thickBot="1">
      <c r="B119" s="334" t="s">
        <v>101</v>
      </c>
      <c r="C119" s="335"/>
      <c r="D119" s="335"/>
      <c r="E119" s="335"/>
      <c r="F119" s="335"/>
      <c r="G119" s="335"/>
      <c r="H119" s="335"/>
      <c r="I119" s="335"/>
      <c r="J119" s="335"/>
      <c r="K119" s="336"/>
    </row>
    <row r="120" spans="2:11">
      <c r="B120" s="121">
        <v>4</v>
      </c>
      <c r="C120" s="50" t="s">
        <v>36</v>
      </c>
      <c r="D120" s="119">
        <v>80000</v>
      </c>
      <c r="E120" s="68" t="s">
        <v>102</v>
      </c>
      <c r="F120" s="119"/>
      <c r="G120" s="119"/>
      <c r="H120" s="119"/>
      <c r="I120" s="119"/>
      <c r="J120" s="122"/>
      <c r="K120" s="484"/>
    </row>
    <row r="121" spans="2:11">
      <c r="B121" s="91" t="s">
        <v>41</v>
      </c>
      <c r="C121" s="54" t="s">
        <v>36</v>
      </c>
      <c r="D121" s="92">
        <v>80500</v>
      </c>
      <c r="E121" s="93" t="s">
        <v>103</v>
      </c>
      <c r="F121" s="92"/>
      <c r="G121" s="92"/>
      <c r="H121" s="92"/>
      <c r="I121" s="92"/>
      <c r="J121" s="58"/>
      <c r="K121" s="463"/>
    </row>
    <row r="122" spans="2:11">
      <c r="B122" s="91" t="s">
        <v>42</v>
      </c>
      <c r="C122" s="54" t="s">
        <v>36</v>
      </c>
      <c r="D122" s="92">
        <v>80501</v>
      </c>
      <c r="E122" s="94" t="s">
        <v>104</v>
      </c>
      <c r="F122" s="92"/>
      <c r="G122" s="92"/>
      <c r="H122" s="92"/>
      <c r="I122" s="92"/>
      <c r="J122" s="58"/>
      <c r="K122" s="463"/>
    </row>
    <row r="123" spans="2:11">
      <c r="B123" s="91" t="s">
        <v>105</v>
      </c>
      <c r="C123" s="54" t="s">
        <v>36</v>
      </c>
      <c r="D123" s="92">
        <v>80514</v>
      </c>
      <c r="E123" s="94" t="s">
        <v>106</v>
      </c>
      <c r="F123" s="95">
        <f>'Memória de cálculo'!H278</f>
        <v>1</v>
      </c>
      <c r="G123" s="9" t="s">
        <v>53</v>
      </c>
      <c r="H123" s="552">
        <v>0</v>
      </c>
      <c r="I123" s="552">
        <v>0</v>
      </c>
      <c r="J123" s="546">
        <f>(I123+H123)*F123</f>
        <v>0</v>
      </c>
      <c r="K123" s="463"/>
    </row>
    <row r="124" spans="2:11">
      <c r="B124" s="91" t="s">
        <v>107</v>
      </c>
      <c r="C124" s="54" t="s">
        <v>36</v>
      </c>
      <c r="D124" s="92">
        <v>80526</v>
      </c>
      <c r="E124" s="94" t="s">
        <v>297</v>
      </c>
      <c r="F124" s="95">
        <f>'Memória de cálculo'!H282</f>
        <v>2</v>
      </c>
      <c r="G124" s="9" t="s">
        <v>298</v>
      </c>
      <c r="H124" s="552">
        <v>0</v>
      </c>
      <c r="I124" s="552">
        <v>0</v>
      </c>
      <c r="J124" s="546">
        <f>(I124+H124)*F124</f>
        <v>0</v>
      </c>
      <c r="K124" s="463"/>
    </row>
    <row r="125" spans="2:11">
      <c r="B125" s="91" t="s">
        <v>109</v>
      </c>
      <c r="C125" s="54" t="s">
        <v>36</v>
      </c>
      <c r="D125" s="92">
        <v>80532</v>
      </c>
      <c r="E125" s="94" t="s">
        <v>299</v>
      </c>
      <c r="F125" s="95">
        <f>'Memória de cálculo'!H286</f>
        <v>2</v>
      </c>
      <c r="G125" s="9" t="s">
        <v>167</v>
      </c>
      <c r="H125" s="552">
        <v>0</v>
      </c>
      <c r="I125" s="552">
        <v>0</v>
      </c>
      <c r="J125" s="546">
        <f>(I125+H125)*F125</f>
        <v>0</v>
      </c>
      <c r="K125" s="463"/>
    </row>
    <row r="126" spans="2:11">
      <c r="B126" s="91" t="s">
        <v>111</v>
      </c>
      <c r="C126" s="54" t="s">
        <v>36</v>
      </c>
      <c r="D126" s="92">
        <v>80540</v>
      </c>
      <c r="E126" s="94" t="s">
        <v>108</v>
      </c>
      <c r="F126" s="92"/>
      <c r="G126" s="92"/>
      <c r="H126" s="552"/>
      <c r="I126" s="552"/>
      <c r="J126" s="546"/>
      <c r="K126" s="463"/>
    </row>
    <row r="127" spans="2:11">
      <c r="B127" s="91" t="s">
        <v>112</v>
      </c>
      <c r="C127" s="54" t="s">
        <v>36</v>
      </c>
      <c r="D127" s="92">
        <v>80570</v>
      </c>
      <c r="E127" s="94" t="s">
        <v>110</v>
      </c>
      <c r="F127" s="95">
        <f>'Memória de cálculo'!H290</f>
        <v>1</v>
      </c>
      <c r="G127" s="9" t="s">
        <v>53</v>
      </c>
      <c r="H127" s="552">
        <v>0</v>
      </c>
      <c r="I127" s="552">
        <v>0</v>
      </c>
      <c r="J127" s="546">
        <f t="shared" ref="J127:J130" si="8">(I127+H127)*F127</f>
        <v>0</v>
      </c>
      <c r="K127" s="463"/>
    </row>
    <row r="128" spans="2:11">
      <c r="B128" s="91" t="s">
        <v>113</v>
      </c>
      <c r="C128" s="54" t="s">
        <v>36</v>
      </c>
      <c r="D128" s="92">
        <v>80563</v>
      </c>
      <c r="E128" s="94" t="s">
        <v>209</v>
      </c>
      <c r="F128" s="95">
        <f>'Memória de cálculo'!H293</f>
        <v>1</v>
      </c>
      <c r="G128" s="9" t="s">
        <v>53</v>
      </c>
      <c r="H128" s="552">
        <v>0</v>
      </c>
      <c r="I128" s="552">
        <v>0</v>
      </c>
      <c r="J128" s="546">
        <f t="shared" si="8"/>
        <v>0</v>
      </c>
      <c r="K128" s="463"/>
    </row>
    <row r="129" spans="2:11">
      <c r="B129" s="91" t="s">
        <v>117</v>
      </c>
      <c r="C129" s="54" t="s">
        <v>36</v>
      </c>
      <c r="D129" s="92">
        <v>80720</v>
      </c>
      <c r="E129" s="94" t="s">
        <v>165</v>
      </c>
      <c r="F129" s="92"/>
      <c r="G129" s="92"/>
      <c r="H129" s="552"/>
      <c r="I129" s="552"/>
      <c r="J129" s="546"/>
      <c r="K129" s="463"/>
    </row>
    <row r="130" spans="2:11">
      <c r="B130" s="91" t="s">
        <v>119</v>
      </c>
      <c r="C130" s="54" t="s">
        <v>36</v>
      </c>
      <c r="D130" s="92">
        <v>80721</v>
      </c>
      <c r="E130" s="94" t="s">
        <v>166</v>
      </c>
      <c r="F130" s="95">
        <f>'Memória de cálculo'!H297</f>
        <v>1</v>
      </c>
      <c r="G130" s="92" t="s">
        <v>167</v>
      </c>
      <c r="H130" s="552">
        <v>0</v>
      </c>
      <c r="I130" s="552">
        <v>0</v>
      </c>
      <c r="J130" s="546">
        <f t="shared" si="8"/>
        <v>0</v>
      </c>
      <c r="K130" s="464"/>
    </row>
    <row r="131" spans="2:11" ht="15.75" thickBot="1">
      <c r="B131" s="481" t="s">
        <v>31</v>
      </c>
      <c r="C131" s="482"/>
      <c r="D131" s="482"/>
      <c r="E131" s="482"/>
      <c r="F131" s="482"/>
      <c r="G131" s="482"/>
      <c r="H131" s="482"/>
      <c r="I131" s="483"/>
      <c r="J131" s="65">
        <f>SUM(J123:J130)</f>
        <v>0</v>
      </c>
      <c r="K131" s="223">
        <f>J131+(J131*0.273)</f>
        <v>0</v>
      </c>
    </row>
    <row r="132" spans="2:11" ht="15.75" customHeight="1" thickBot="1">
      <c r="B132" s="334" t="s">
        <v>124</v>
      </c>
      <c r="C132" s="335"/>
      <c r="D132" s="335"/>
      <c r="E132" s="335"/>
      <c r="F132" s="335"/>
      <c r="G132" s="335"/>
      <c r="H132" s="335"/>
      <c r="I132" s="335"/>
      <c r="J132" s="335"/>
      <c r="K132" s="336"/>
    </row>
    <row r="133" spans="2:11">
      <c r="B133" s="49">
        <v>5</v>
      </c>
      <c r="C133" s="50" t="s">
        <v>36</v>
      </c>
      <c r="D133" s="51">
        <v>190000</v>
      </c>
      <c r="E133" s="337" t="s">
        <v>125</v>
      </c>
      <c r="F133" s="338"/>
      <c r="G133" s="338"/>
      <c r="H133" s="338"/>
      <c r="I133" s="338"/>
      <c r="J133" s="338"/>
      <c r="K133" s="339"/>
    </row>
    <row r="134" spans="2:11">
      <c r="B134" s="123" t="s">
        <v>54</v>
      </c>
      <c r="C134" s="124" t="s">
        <v>36</v>
      </c>
      <c r="D134" s="54">
        <v>190109</v>
      </c>
      <c r="E134" s="24" t="s">
        <v>127</v>
      </c>
      <c r="F134" s="43">
        <f>'Memória de cálculo'!H304</f>
        <v>0.82499999999999996</v>
      </c>
      <c r="G134" s="54" t="s">
        <v>30</v>
      </c>
      <c r="H134" s="556">
        <v>0</v>
      </c>
      <c r="I134" s="556">
        <v>0</v>
      </c>
      <c r="J134" s="553">
        <f>(H134+I134)*F134</f>
        <v>0</v>
      </c>
      <c r="K134" s="229"/>
    </row>
    <row r="135" spans="2:11" ht="15.75" thickBot="1">
      <c r="B135" s="477" t="s">
        <v>11</v>
      </c>
      <c r="C135" s="478"/>
      <c r="D135" s="478"/>
      <c r="E135" s="478"/>
      <c r="F135" s="478"/>
      <c r="G135" s="478"/>
      <c r="H135" s="478"/>
      <c r="I135" s="479"/>
      <c r="J135" s="62">
        <f>SUM(J134:J134)</f>
        <v>0</v>
      </c>
      <c r="K135" s="224">
        <f>J135+(J135*0.273)</f>
        <v>0</v>
      </c>
    </row>
    <row r="136" spans="2:11" ht="15.75" thickBot="1">
      <c r="B136" s="334" t="s">
        <v>168</v>
      </c>
      <c r="C136" s="335"/>
      <c r="D136" s="335"/>
      <c r="E136" s="335"/>
      <c r="F136" s="335"/>
      <c r="G136" s="335"/>
      <c r="H136" s="335"/>
      <c r="I136" s="335"/>
      <c r="J136" s="335"/>
      <c r="K136" s="336"/>
    </row>
    <row r="137" spans="2:11">
      <c r="B137" s="96">
        <v>6</v>
      </c>
      <c r="C137" s="118" t="s">
        <v>36</v>
      </c>
      <c r="D137" s="118">
        <v>210000</v>
      </c>
      <c r="E137" s="116" t="s">
        <v>169</v>
      </c>
      <c r="F137" s="118"/>
      <c r="G137" s="118"/>
      <c r="H137" s="118"/>
      <c r="I137" s="118"/>
      <c r="J137" s="125"/>
      <c r="K137" s="230"/>
    </row>
    <row r="138" spans="2:11" ht="38.25">
      <c r="B138" s="97" t="s">
        <v>20</v>
      </c>
      <c r="C138" s="59" t="s">
        <v>36</v>
      </c>
      <c r="D138" s="59">
        <v>210461</v>
      </c>
      <c r="E138" s="126" t="s">
        <v>170</v>
      </c>
      <c r="F138" s="56">
        <f>'Memória de cálculo'!H313</f>
        <v>140.88500000000002</v>
      </c>
      <c r="G138" s="59" t="s">
        <v>30</v>
      </c>
      <c r="H138" s="547">
        <v>0</v>
      </c>
      <c r="I138" s="547">
        <v>0</v>
      </c>
      <c r="J138" s="546">
        <f>(H138+I138)*F138</f>
        <v>0</v>
      </c>
      <c r="K138" s="225"/>
    </row>
    <row r="139" spans="2:11" ht="15.75" thickBot="1">
      <c r="B139" s="477" t="s">
        <v>11</v>
      </c>
      <c r="C139" s="478"/>
      <c r="D139" s="478"/>
      <c r="E139" s="478"/>
      <c r="F139" s="478"/>
      <c r="G139" s="478"/>
      <c r="H139" s="478"/>
      <c r="I139" s="479"/>
      <c r="J139" s="62">
        <f>SUM(J138:J138)</f>
        <v>0</v>
      </c>
      <c r="K139" s="224">
        <f>J139+(J139*0.273)</f>
        <v>0</v>
      </c>
    </row>
    <row r="140" spans="2:11" ht="15.75" thickBot="1">
      <c r="B140" s="334" t="s">
        <v>33</v>
      </c>
      <c r="C140" s="335"/>
      <c r="D140" s="335"/>
      <c r="E140" s="335"/>
      <c r="F140" s="335"/>
      <c r="G140" s="335"/>
      <c r="H140" s="335"/>
      <c r="I140" s="335"/>
      <c r="J140" s="335"/>
      <c r="K140" s="336"/>
    </row>
    <row r="141" spans="2:11">
      <c r="B141" s="49">
        <v>7</v>
      </c>
      <c r="C141" s="50" t="s">
        <v>36</v>
      </c>
      <c r="D141" s="51">
        <v>260000</v>
      </c>
      <c r="E141" s="470" t="s">
        <v>34</v>
      </c>
      <c r="F141" s="471"/>
      <c r="G141" s="471"/>
      <c r="H141" s="471"/>
      <c r="I141" s="471"/>
      <c r="J141" s="471"/>
      <c r="K141" s="472"/>
    </row>
    <row r="142" spans="2:11">
      <c r="B142" s="16" t="s">
        <v>21</v>
      </c>
      <c r="C142" s="54" t="s">
        <v>36</v>
      </c>
      <c r="D142" s="69">
        <v>261001</v>
      </c>
      <c r="E142" s="60" t="s">
        <v>35</v>
      </c>
      <c r="F142" s="56">
        <f>'Memória de cálculo'!H362</f>
        <v>334.17240000000004</v>
      </c>
      <c r="G142" s="59" t="s">
        <v>30</v>
      </c>
      <c r="H142" s="547">
        <v>0</v>
      </c>
      <c r="I142" s="547">
        <v>0</v>
      </c>
      <c r="J142" s="553">
        <f>(I142+H142)*F142</f>
        <v>0</v>
      </c>
      <c r="K142" s="473"/>
    </row>
    <row r="143" spans="2:11">
      <c r="B143" s="16" t="s">
        <v>62</v>
      </c>
      <c r="C143" s="54" t="s">
        <v>36</v>
      </c>
      <c r="D143" s="69">
        <v>261548</v>
      </c>
      <c r="E143" s="60" t="s">
        <v>171</v>
      </c>
      <c r="F143" s="56">
        <f>'Memória de cálculo'!H393</f>
        <v>78.596000000000004</v>
      </c>
      <c r="G143" s="59" t="s">
        <v>30</v>
      </c>
      <c r="H143" s="547">
        <v>0</v>
      </c>
      <c r="I143" s="547">
        <v>0</v>
      </c>
      <c r="J143" s="553">
        <f>(I143+H143)*F143</f>
        <v>0</v>
      </c>
      <c r="K143" s="463"/>
    </row>
    <row r="144" spans="2:11">
      <c r="B144" s="16" t="s">
        <v>172</v>
      </c>
      <c r="C144" s="54" t="s">
        <v>36</v>
      </c>
      <c r="D144" s="54">
        <v>261502</v>
      </c>
      <c r="E144" s="70" t="s">
        <v>133</v>
      </c>
      <c r="F144" s="71">
        <f>'Memória de cálculo'!H415</f>
        <v>81.007999999999996</v>
      </c>
      <c r="G144" s="69" t="s">
        <v>140</v>
      </c>
      <c r="H144" s="546">
        <v>0</v>
      </c>
      <c r="I144" s="546">
        <v>0</v>
      </c>
      <c r="J144" s="553">
        <f>(I144+H144)*F144</f>
        <v>0</v>
      </c>
      <c r="K144" s="463"/>
    </row>
    <row r="145" spans="2:11" ht="15.75" thickBot="1">
      <c r="B145" s="438" t="s">
        <v>31</v>
      </c>
      <c r="C145" s="439"/>
      <c r="D145" s="439"/>
      <c r="E145" s="439"/>
      <c r="F145" s="439"/>
      <c r="G145" s="439"/>
      <c r="H145" s="439"/>
      <c r="I145" s="440"/>
      <c r="J145" s="65">
        <f>SUM(J142:J144)</f>
        <v>0</v>
      </c>
      <c r="K145" s="225">
        <f>J145+(J145*0.273)</f>
        <v>0</v>
      </c>
    </row>
    <row r="146" spans="2:11" ht="15.75" thickBot="1">
      <c r="B146" s="474" t="s">
        <v>37</v>
      </c>
      <c r="C146" s="475"/>
      <c r="D146" s="475"/>
      <c r="E146" s="475"/>
      <c r="F146" s="475"/>
      <c r="G146" s="475"/>
      <c r="H146" s="475"/>
      <c r="I146" s="475"/>
      <c r="J146" s="475"/>
      <c r="K146" s="476"/>
    </row>
    <row r="147" spans="2:11">
      <c r="B147" s="49">
        <v>8</v>
      </c>
      <c r="C147" s="72" t="s">
        <v>36</v>
      </c>
      <c r="D147" s="51">
        <v>270000</v>
      </c>
      <c r="E147" s="73" t="s">
        <v>38</v>
      </c>
      <c r="F147" s="11"/>
      <c r="G147" s="11"/>
      <c r="H147" s="75"/>
      <c r="I147" s="75"/>
      <c r="J147" s="75"/>
      <c r="K147" s="463"/>
    </row>
    <row r="148" spans="2:11">
      <c r="B148" s="66" t="s">
        <v>151</v>
      </c>
      <c r="C148" s="54" t="s">
        <v>36</v>
      </c>
      <c r="D148" s="54">
        <v>270501</v>
      </c>
      <c r="E148" s="24" t="s">
        <v>63</v>
      </c>
      <c r="F148" s="43">
        <f>'Memória de cálculo'!E418</f>
        <v>187.83</v>
      </c>
      <c r="G148" s="54" t="s">
        <v>50</v>
      </c>
      <c r="H148" s="551">
        <v>0</v>
      </c>
      <c r="I148" s="551">
        <v>0</v>
      </c>
      <c r="J148" s="546">
        <f>(H148+I148)*F148</f>
        <v>0</v>
      </c>
      <c r="K148" s="463"/>
    </row>
    <row r="149" spans="2:11">
      <c r="B149" s="66" t="s">
        <v>152</v>
      </c>
      <c r="C149" s="54" t="s">
        <v>36</v>
      </c>
      <c r="D149" s="54">
        <v>270502</v>
      </c>
      <c r="E149" s="24" t="s">
        <v>148</v>
      </c>
      <c r="F149" s="43">
        <f>'Memória de cálculo'!H434</f>
        <v>165.989</v>
      </c>
      <c r="G149" s="54" t="s">
        <v>30</v>
      </c>
      <c r="H149" s="551">
        <v>0</v>
      </c>
      <c r="I149" s="551">
        <v>0</v>
      </c>
      <c r="J149" s="546">
        <f t="shared" ref="J149:J150" si="9">(H149+I149)*F149</f>
        <v>0</v>
      </c>
      <c r="K149" s="463"/>
    </row>
    <row r="150" spans="2:11">
      <c r="B150" s="66" t="s">
        <v>173</v>
      </c>
      <c r="C150" s="54" t="s">
        <v>36</v>
      </c>
      <c r="D150" s="54">
        <v>270810</v>
      </c>
      <c r="E150" s="24" t="s">
        <v>43</v>
      </c>
      <c r="F150" s="43">
        <f>'Memória de cálculo'!E435</f>
        <v>1</v>
      </c>
      <c r="G150" s="4" t="s">
        <v>53</v>
      </c>
      <c r="H150" s="551">
        <v>0</v>
      </c>
      <c r="I150" s="551">
        <v>0</v>
      </c>
      <c r="J150" s="546">
        <f t="shared" si="9"/>
        <v>0</v>
      </c>
      <c r="K150" s="464"/>
    </row>
    <row r="151" spans="2:11" ht="15.75" thickBot="1">
      <c r="B151" s="438" t="s">
        <v>31</v>
      </c>
      <c r="C151" s="439"/>
      <c r="D151" s="439"/>
      <c r="E151" s="439"/>
      <c r="F151" s="439"/>
      <c r="G151" s="439"/>
      <c r="H151" s="439"/>
      <c r="I151" s="440"/>
      <c r="J151" s="65">
        <f>SUM(J148:J150)</f>
        <v>0</v>
      </c>
      <c r="K151" s="223">
        <f>J151+(J151*0.273)</f>
        <v>0</v>
      </c>
    </row>
    <row r="152" spans="2:11" ht="15.75" thickBot="1">
      <c r="B152" s="450" t="s">
        <v>39</v>
      </c>
      <c r="C152" s="451"/>
      <c r="D152" s="451"/>
      <c r="E152" s="451"/>
      <c r="F152" s="451"/>
      <c r="G152" s="451"/>
      <c r="H152" s="451"/>
      <c r="I152" s="451"/>
      <c r="J152" s="451"/>
      <c r="K152" s="452"/>
    </row>
    <row r="153" spans="2:11">
      <c r="B153" s="441" t="s">
        <v>15</v>
      </c>
      <c r="C153" s="442"/>
      <c r="D153" s="442"/>
      <c r="E153" s="442"/>
      <c r="F153" s="442"/>
      <c r="G153" s="442"/>
      <c r="H153" s="442"/>
      <c r="I153" s="443"/>
      <c r="J153" s="128">
        <f>SUM(J151,J145,J135,J118,J108,J131,J139,J112)</f>
        <v>0</v>
      </c>
      <c r="K153" s="465"/>
    </row>
    <row r="154" spans="2:11">
      <c r="B154" s="444" t="s">
        <v>40</v>
      </c>
      <c r="C154" s="445"/>
      <c r="D154" s="445"/>
      <c r="E154" s="445"/>
      <c r="F154" s="445"/>
      <c r="G154" s="445"/>
      <c r="H154" s="445"/>
      <c r="I154" s="446"/>
      <c r="J154" s="122">
        <f>(J153*0.273)</f>
        <v>0</v>
      </c>
      <c r="K154" s="466"/>
    </row>
    <row r="155" spans="2:11" ht="15.75" thickBot="1">
      <c r="B155" s="460" t="s">
        <v>29</v>
      </c>
      <c r="C155" s="461"/>
      <c r="D155" s="461"/>
      <c r="E155" s="461"/>
      <c r="F155" s="461"/>
      <c r="G155" s="461"/>
      <c r="H155" s="461"/>
      <c r="I155" s="462"/>
      <c r="J155" s="127">
        <f>SUM(J153,J154)</f>
        <v>0</v>
      </c>
      <c r="K155" s="231">
        <f>K112+K151+K145+K118+K108+K135+K131+K139</f>
        <v>0</v>
      </c>
    </row>
    <row r="156" spans="2:11" ht="15.75" thickBot="1">
      <c r="B156" s="467" t="s">
        <v>200</v>
      </c>
      <c r="C156" s="468"/>
      <c r="D156" s="468"/>
      <c r="E156" s="468"/>
      <c r="F156" s="468"/>
      <c r="G156" s="468"/>
      <c r="H156" s="468"/>
      <c r="I156" s="468"/>
      <c r="J156" s="468"/>
      <c r="K156" s="469"/>
    </row>
    <row r="157" spans="2:11" ht="15.75" thickBot="1">
      <c r="B157" s="320" t="s">
        <v>199</v>
      </c>
      <c r="C157" s="321"/>
      <c r="D157" s="321"/>
      <c r="E157" s="321"/>
      <c r="F157" s="321"/>
      <c r="G157" s="321"/>
      <c r="H157" s="321"/>
      <c r="I157" s="321"/>
      <c r="J157" s="321"/>
      <c r="K157" s="420"/>
    </row>
    <row r="158" spans="2:11" ht="15.75" thickBot="1">
      <c r="B158" s="138" t="s">
        <v>3</v>
      </c>
      <c r="C158" s="453" t="s">
        <v>24</v>
      </c>
      <c r="D158" s="454"/>
      <c r="E158" s="135" t="s">
        <v>174</v>
      </c>
      <c r="F158" s="135" t="s">
        <v>25</v>
      </c>
      <c r="G158" s="135" t="s">
        <v>175</v>
      </c>
      <c r="H158" s="135" t="s">
        <v>27</v>
      </c>
      <c r="I158" s="135" t="s">
        <v>176</v>
      </c>
      <c r="J158" s="216" t="s">
        <v>15</v>
      </c>
      <c r="K158" s="232" t="s">
        <v>29</v>
      </c>
    </row>
    <row r="159" spans="2:11" ht="15.75" thickBot="1">
      <c r="B159" s="435" t="s">
        <v>374</v>
      </c>
      <c r="C159" s="436"/>
      <c r="D159" s="436"/>
      <c r="E159" s="436"/>
      <c r="F159" s="436"/>
      <c r="G159" s="436"/>
      <c r="H159" s="436"/>
      <c r="I159" s="436"/>
      <c r="J159" s="436"/>
      <c r="K159" s="437"/>
    </row>
    <row r="160" spans="2:11" s="144" customFormat="1">
      <c r="B160" s="140">
        <v>1</v>
      </c>
      <c r="C160" s="141" t="s">
        <v>36</v>
      </c>
      <c r="D160" s="141">
        <v>20000</v>
      </c>
      <c r="E160" s="142" t="s">
        <v>8</v>
      </c>
      <c r="F160" s="141"/>
      <c r="G160" s="141"/>
      <c r="H160" s="143"/>
      <c r="I160" s="143"/>
      <c r="J160" s="143"/>
      <c r="K160" s="233"/>
    </row>
    <row r="161" spans="2:11" ht="33" customHeight="1">
      <c r="B161" s="139" t="s">
        <v>12</v>
      </c>
      <c r="C161" s="132" t="s">
        <v>36</v>
      </c>
      <c r="D161" s="132">
        <v>20147</v>
      </c>
      <c r="E161" s="137" t="s">
        <v>178</v>
      </c>
      <c r="F161" s="134">
        <f>'Memória de cálculo'!H443</f>
        <v>31.625</v>
      </c>
      <c r="G161" s="132" t="s">
        <v>179</v>
      </c>
      <c r="H161" s="557">
        <v>0</v>
      </c>
      <c r="I161" s="557">
        <v>0</v>
      </c>
      <c r="J161" s="557">
        <f>I161*F161</f>
        <v>0</v>
      </c>
      <c r="K161" s="234"/>
    </row>
    <row r="162" spans="2:11" ht="33" customHeight="1">
      <c r="B162" s="139" t="s">
        <v>13</v>
      </c>
      <c r="C162" s="132" t="s">
        <v>36</v>
      </c>
      <c r="D162" s="132">
        <v>20157</v>
      </c>
      <c r="E162" s="137" t="s">
        <v>394</v>
      </c>
      <c r="F162" s="134">
        <f>'Memória de cálculo'!H447</f>
        <v>4.92</v>
      </c>
      <c r="G162" s="132" t="s">
        <v>30</v>
      </c>
      <c r="H162" s="557">
        <v>0</v>
      </c>
      <c r="I162" s="557">
        <v>0</v>
      </c>
      <c r="J162" s="557">
        <f>I162*F162</f>
        <v>0</v>
      </c>
      <c r="K162" s="280"/>
    </row>
    <row r="163" spans="2:11" ht="15.75" thickBot="1">
      <c r="B163" s="438" t="s">
        <v>31</v>
      </c>
      <c r="C163" s="439"/>
      <c r="D163" s="439"/>
      <c r="E163" s="439"/>
      <c r="F163" s="439"/>
      <c r="G163" s="439"/>
      <c r="H163" s="439"/>
      <c r="I163" s="440"/>
      <c r="J163" s="216">
        <f>SUM(J161:J162)</f>
        <v>0</v>
      </c>
      <c r="K163" s="232">
        <f>J163*1.273</f>
        <v>0</v>
      </c>
    </row>
    <row r="164" spans="2:11" ht="15.75" thickBot="1">
      <c r="B164" s="435" t="s">
        <v>375</v>
      </c>
      <c r="C164" s="436"/>
      <c r="D164" s="436"/>
      <c r="E164" s="436"/>
      <c r="F164" s="436"/>
      <c r="G164" s="436"/>
      <c r="H164" s="436"/>
      <c r="I164" s="436"/>
      <c r="J164" s="436"/>
      <c r="K164" s="437"/>
    </row>
    <row r="165" spans="2:11" s="144" customFormat="1">
      <c r="B165" s="140">
        <v>2</v>
      </c>
      <c r="C165" s="141" t="s">
        <v>36</v>
      </c>
      <c r="D165" s="141">
        <v>30000</v>
      </c>
      <c r="E165" s="142" t="s">
        <v>17</v>
      </c>
      <c r="F165" s="141"/>
      <c r="G165" s="141"/>
      <c r="H165" s="141"/>
      <c r="I165" s="141"/>
      <c r="J165" s="143"/>
      <c r="K165" s="233"/>
    </row>
    <row r="166" spans="2:11" ht="30" customHeight="1">
      <c r="B166" s="139" t="s">
        <v>18</v>
      </c>
      <c r="C166" s="132" t="s">
        <v>36</v>
      </c>
      <c r="D166" s="32">
        <v>30105</v>
      </c>
      <c r="E166" s="33" t="s">
        <v>92</v>
      </c>
      <c r="F166" s="134">
        <f>'Memória de cálculo'!H451</f>
        <v>4</v>
      </c>
      <c r="G166" s="32" t="s">
        <v>93</v>
      </c>
      <c r="H166" s="549">
        <v>0</v>
      </c>
      <c r="I166" s="549">
        <v>0</v>
      </c>
      <c r="J166" s="558">
        <f>(I166+H166)*F166</f>
        <v>0</v>
      </c>
      <c r="K166" s="235"/>
    </row>
    <row r="167" spans="2:11" ht="15.75" thickBot="1">
      <c r="B167" s="438" t="s">
        <v>31</v>
      </c>
      <c r="C167" s="439"/>
      <c r="D167" s="439"/>
      <c r="E167" s="439"/>
      <c r="F167" s="439"/>
      <c r="G167" s="439"/>
      <c r="H167" s="439"/>
      <c r="I167" s="440"/>
      <c r="J167" s="216">
        <f>J166</f>
        <v>0</v>
      </c>
      <c r="K167" s="232">
        <f>J167*1.273</f>
        <v>0</v>
      </c>
    </row>
    <row r="168" spans="2:11" ht="15.75" thickBot="1">
      <c r="B168" s="435" t="s">
        <v>376</v>
      </c>
      <c r="C168" s="436"/>
      <c r="D168" s="436"/>
      <c r="E168" s="436"/>
      <c r="F168" s="436"/>
      <c r="G168" s="436"/>
      <c r="H168" s="436"/>
      <c r="I168" s="436"/>
      <c r="J168" s="436"/>
      <c r="K168" s="437"/>
    </row>
    <row r="169" spans="2:11" s="144" customFormat="1">
      <c r="B169" s="140">
        <v>3</v>
      </c>
      <c r="C169" s="141" t="s">
        <v>36</v>
      </c>
      <c r="D169" s="141">
        <v>80501</v>
      </c>
      <c r="E169" s="142" t="s">
        <v>183</v>
      </c>
      <c r="F169" s="141"/>
      <c r="G169" s="141"/>
      <c r="H169" s="141"/>
      <c r="I169" s="141"/>
      <c r="J169" s="143"/>
      <c r="K169" s="233"/>
    </row>
    <row r="170" spans="2:11">
      <c r="B170" s="139" t="s">
        <v>58</v>
      </c>
      <c r="C170" s="132" t="s">
        <v>36</v>
      </c>
      <c r="D170" s="132">
        <v>80526</v>
      </c>
      <c r="E170" s="136" t="s">
        <v>184</v>
      </c>
      <c r="F170" s="134">
        <f>'Memória de cálculo'!H457</f>
        <v>2</v>
      </c>
      <c r="G170" s="132" t="s">
        <v>175</v>
      </c>
      <c r="H170" s="558">
        <v>0</v>
      </c>
      <c r="I170" s="558">
        <v>0</v>
      </c>
      <c r="J170" s="558">
        <f>(I170+H170)*F170</f>
        <v>0</v>
      </c>
      <c r="K170" s="235"/>
    </row>
    <row r="171" spans="2:11">
      <c r="B171" s="139">
        <v>4</v>
      </c>
      <c r="C171" s="132" t="s">
        <v>36</v>
      </c>
      <c r="D171" s="132">
        <v>80540</v>
      </c>
      <c r="E171" s="136" t="s">
        <v>185</v>
      </c>
      <c r="F171" s="132"/>
      <c r="G171" s="132"/>
      <c r="H171" s="559"/>
      <c r="I171" s="559"/>
      <c r="J171" s="558"/>
      <c r="K171" s="235"/>
    </row>
    <row r="172" spans="2:11">
      <c r="B172" s="139" t="s">
        <v>41</v>
      </c>
      <c r="C172" s="132" t="s">
        <v>36</v>
      </c>
      <c r="D172" s="132">
        <v>80561</v>
      </c>
      <c r="E172" s="136" t="s">
        <v>186</v>
      </c>
      <c r="F172" s="134">
        <f>'Memória de cálculo'!H461</f>
        <v>1</v>
      </c>
      <c r="G172" s="132" t="s">
        <v>187</v>
      </c>
      <c r="H172" s="558">
        <v>0</v>
      </c>
      <c r="I172" s="558">
        <v>0</v>
      </c>
      <c r="J172" s="558">
        <f>(I172+H172)*F172</f>
        <v>0</v>
      </c>
      <c r="K172" s="235"/>
    </row>
    <row r="173" spans="2:11" ht="15.75" thickBot="1">
      <c r="B173" s="455" t="s">
        <v>31</v>
      </c>
      <c r="C173" s="456"/>
      <c r="D173" s="456"/>
      <c r="E173" s="456"/>
      <c r="F173" s="456"/>
      <c r="G173" s="456"/>
      <c r="H173" s="456"/>
      <c r="I173" s="456"/>
      <c r="J173" s="216">
        <f>SUM(J170:J172)</f>
        <v>0</v>
      </c>
      <c r="K173" s="232">
        <f>J173*1.273</f>
        <v>0</v>
      </c>
    </row>
    <row r="174" spans="2:11" ht="15.75" thickBot="1">
      <c r="B174" s="435" t="s">
        <v>377</v>
      </c>
      <c r="C174" s="436"/>
      <c r="D174" s="436"/>
      <c r="E174" s="436"/>
      <c r="F174" s="436"/>
      <c r="G174" s="436"/>
      <c r="H174" s="436"/>
      <c r="I174" s="436"/>
      <c r="J174" s="436"/>
      <c r="K174" s="437"/>
    </row>
    <row r="175" spans="2:11">
      <c r="B175" s="270">
        <v>5</v>
      </c>
      <c r="C175" s="260" t="s">
        <v>36</v>
      </c>
      <c r="D175" s="268">
        <v>160000</v>
      </c>
      <c r="E175" s="269" t="s">
        <v>329</v>
      </c>
      <c r="F175" s="259"/>
      <c r="G175" s="259"/>
      <c r="H175" s="259"/>
      <c r="I175" s="259"/>
      <c r="J175" s="259"/>
      <c r="K175" s="259"/>
    </row>
    <row r="176" spans="2:11">
      <c r="B176" s="268" t="s">
        <v>54</v>
      </c>
      <c r="C176" s="260" t="s">
        <v>36</v>
      </c>
      <c r="D176" s="257">
        <v>160401</v>
      </c>
      <c r="E176" s="256" t="s">
        <v>323</v>
      </c>
      <c r="F176" s="261">
        <f>'Memória de cálculo'!H466</f>
        <v>6</v>
      </c>
      <c r="G176" s="257" t="s">
        <v>30</v>
      </c>
      <c r="H176" s="560">
        <v>0</v>
      </c>
      <c r="I176" s="560">
        <v>0</v>
      </c>
      <c r="J176" s="561">
        <f>(I176+H176)*F176</f>
        <v>0</v>
      </c>
      <c r="K176" s="259"/>
    </row>
    <row r="177" spans="2:11">
      <c r="B177" s="268" t="s">
        <v>353</v>
      </c>
      <c r="C177" s="132" t="s">
        <v>36</v>
      </c>
      <c r="D177" s="92">
        <v>160602</v>
      </c>
      <c r="E177" s="94" t="s">
        <v>321</v>
      </c>
      <c r="F177" s="95">
        <f>'Memória de cálculo'!H468</f>
        <v>10.8</v>
      </c>
      <c r="G177" s="92" t="s">
        <v>319</v>
      </c>
      <c r="H177" s="562">
        <v>0</v>
      </c>
      <c r="I177" s="562">
        <v>0</v>
      </c>
      <c r="J177" s="558">
        <f t="shared" ref="J177:J178" si="10">(I177+H177)*F177</f>
        <v>0</v>
      </c>
      <c r="K177" s="133"/>
    </row>
    <row r="178" spans="2:11">
      <c r="B178" s="268" t="s">
        <v>354</v>
      </c>
      <c r="C178" s="132" t="s">
        <v>36</v>
      </c>
      <c r="D178" s="92">
        <v>160601</v>
      </c>
      <c r="E178" s="94" t="s">
        <v>322</v>
      </c>
      <c r="F178" s="95">
        <f>'Memória de cálculo'!H470</f>
        <v>13.8</v>
      </c>
      <c r="G178" s="92" t="s">
        <v>319</v>
      </c>
      <c r="H178" s="562">
        <v>0</v>
      </c>
      <c r="I178" s="562">
        <v>0</v>
      </c>
      <c r="J178" s="558">
        <f t="shared" si="10"/>
        <v>0</v>
      </c>
      <c r="K178" s="133"/>
    </row>
    <row r="179" spans="2:11" ht="15.75" thickBot="1">
      <c r="B179" s="455" t="s">
        <v>31</v>
      </c>
      <c r="C179" s="456"/>
      <c r="D179" s="456"/>
      <c r="E179" s="456"/>
      <c r="F179" s="456"/>
      <c r="G179" s="456"/>
      <c r="H179" s="456"/>
      <c r="I179" s="456"/>
      <c r="J179" s="216">
        <f>SUM(J176:J178)</f>
        <v>0</v>
      </c>
      <c r="K179" s="232">
        <f>J179*1.273</f>
        <v>0</v>
      </c>
    </row>
    <row r="180" spans="2:11" ht="15.75" thickBot="1">
      <c r="B180" s="435" t="s">
        <v>378</v>
      </c>
      <c r="C180" s="436"/>
      <c r="D180" s="436"/>
      <c r="E180" s="436"/>
      <c r="F180" s="436"/>
      <c r="G180" s="436"/>
      <c r="H180" s="436"/>
      <c r="I180" s="436"/>
      <c r="J180" s="436"/>
      <c r="K180" s="437"/>
    </row>
    <row r="181" spans="2:11" s="144" customFormat="1">
      <c r="B181" s="140">
        <v>6</v>
      </c>
      <c r="C181" s="141" t="s">
        <v>36</v>
      </c>
      <c r="D181" s="141">
        <v>210000</v>
      </c>
      <c r="E181" s="142" t="s">
        <v>189</v>
      </c>
      <c r="F181" s="141"/>
      <c r="G181" s="141"/>
      <c r="H181" s="141"/>
      <c r="I181" s="141"/>
      <c r="J181" s="143"/>
      <c r="K181" s="233"/>
    </row>
    <row r="182" spans="2:11" ht="31.5" customHeight="1">
      <c r="B182" s="139" t="s">
        <v>20</v>
      </c>
      <c r="C182" s="132" t="s">
        <v>36</v>
      </c>
      <c r="D182" s="132">
        <v>210460</v>
      </c>
      <c r="E182" s="137" t="s">
        <v>190</v>
      </c>
      <c r="F182" s="134">
        <f>'Memória de cálculo'!H475</f>
        <v>31.625</v>
      </c>
      <c r="G182" s="132" t="s">
        <v>179</v>
      </c>
      <c r="H182" s="558">
        <v>0</v>
      </c>
      <c r="I182" s="558">
        <v>0</v>
      </c>
      <c r="J182" s="558">
        <f>(I182+H182)*F182</f>
        <v>0</v>
      </c>
      <c r="K182" s="235"/>
    </row>
    <row r="183" spans="2:11" ht="15.75" thickBot="1">
      <c r="B183" s="438" t="s">
        <v>31</v>
      </c>
      <c r="C183" s="439"/>
      <c r="D183" s="439"/>
      <c r="E183" s="439"/>
      <c r="F183" s="439"/>
      <c r="G183" s="439"/>
      <c r="H183" s="439"/>
      <c r="I183" s="440"/>
      <c r="J183" s="216">
        <f>J182</f>
        <v>0</v>
      </c>
      <c r="K183" s="232">
        <f>J183*1.273</f>
        <v>0</v>
      </c>
    </row>
    <row r="184" spans="2:11" ht="15.75" thickBot="1">
      <c r="B184" s="435" t="s">
        <v>379</v>
      </c>
      <c r="C184" s="436"/>
      <c r="D184" s="436"/>
      <c r="E184" s="436"/>
      <c r="F184" s="436"/>
      <c r="G184" s="436"/>
      <c r="H184" s="436"/>
      <c r="I184" s="436"/>
      <c r="J184" s="436"/>
      <c r="K184" s="437"/>
    </row>
    <row r="185" spans="2:11" s="144" customFormat="1">
      <c r="B185" s="140">
        <v>7</v>
      </c>
      <c r="C185" s="141" t="s">
        <v>36</v>
      </c>
      <c r="D185" s="141">
        <v>260000</v>
      </c>
      <c r="E185" s="142" t="s">
        <v>34</v>
      </c>
      <c r="F185" s="141"/>
      <c r="G185" s="141"/>
      <c r="H185" s="141"/>
      <c r="I185" s="141"/>
      <c r="J185" s="143"/>
      <c r="K185" s="233"/>
    </row>
    <row r="186" spans="2:11">
      <c r="B186" s="139" t="s">
        <v>21</v>
      </c>
      <c r="C186" s="132" t="s">
        <v>36</v>
      </c>
      <c r="D186" s="132">
        <v>260104</v>
      </c>
      <c r="E186" s="136" t="s">
        <v>192</v>
      </c>
      <c r="F186" s="134">
        <f>'Memória de cálculo'!H487</f>
        <v>7.73</v>
      </c>
      <c r="G186" s="132" t="s">
        <v>179</v>
      </c>
      <c r="H186" s="558">
        <v>0</v>
      </c>
      <c r="I186" s="558">
        <v>0</v>
      </c>
      <c r="J186" s="558">
        <f t="shared" ref="J186:J189" si="11">(I186+H186)*F186</f>
        <v>0</v>
      </c>
      <c r="K186" s="235"/>
    </row>
    <row r="187" spans="2:11">
      <c r="B187" s="139" t="s">
        <v>62</v>
      </c>
      <c r="C187" s="132" t="s">
        <v>36</v>
      </c>
      <c r="D187" s="132">
        <v>261001</v>
      </c>
      <c r="E187" s="136" t="s">
        <v>193</v>
      </c>
      <c r="F187" s="134">
        <f>'Memória de cálculo'!H501</f>
        <v>134.77312499999999</v>
      </c>
      <c r="G187" s="132" t="s">
        <v>179</v>
      </c>
      <c r="H187" s="558">
        <v>0</v>
      </c>
      <c r="I187" s="558">
        <v>0</v>
      </c>
      <c r="J187" s="558">
        <f t="shared" si="11"/>
        <v>0</v>
      </c>
      <c r="K187" s="235"/>
    </row>
    <row r="188" spans="2:11">
      <c r="B188" s="139" t="s">
        <v>172</v>
      </c>
      <c r="C188" s="132" t="s">
        <v>36</v>
      </c>
      <c r="D188" s="132">
        <v>261301</v>
      </c>
      <c r="E188" s="136" t="s">
        <v>194</v>
      </c>
      <c r="F188" s="134">
        <f>'Memória de cálculo'!H512</f>
        <v>7.73</v>
      </c>
      <c r="G188" s="132" t="s">
        <v>179</v>
      </c>
      <c r="H188" s="563">
        <v>0</v>
      </c>
      <c r="I188" s="563">
        <v>0</v>
      </c>
      <c r="J188" s="558">
        <f t="shared" si="11"/>
        <v>0</v>
      </c>
      <c r="K188" s="235"/>
    </row>
    <row r="189" spans="2:11">
      <c r="B189" s="139" t="s">
        <v>355</v>
      </c>
      <c r="C189" s="132" t="s">
        <v>36</v>
      </c>
      <c r="D189" s="132">
        <v>261307</v>
      </c>
      <c r="E189" s="136" t="s">
        <v>195</v>
      </c>
      <c r="F189" s="134">
        <f>'Memória de cálculo'!H532</f>
        <v>85.72</v>
      </c>
      <c r="G189" s="132" t="s">
        <v>179</v>
      </c>
      <c r="H189" s="563">
        <v>0</v>
      </c>
      <c r="I189" s="563">
        <v>0</v>
      </c>
      <c r="J189" s="558">
        <f t="shared" si="11"/>
        <v>0</v>
      </c>
      <c r="K189" s="235"/>
    </row>
    <row r="190" spans="2:11">
      <c r="B190" s="139" t="s">
        <v>356</v>
      </c>
      <c r="C190" s="132" t="s">
        <v>36</v>
      </c>
      <c r="D190" s="132">
        <v>261503</v>
      </c>
      <c r="E190" s="136" t="s">
        <v>196</v>
      </c>
      <c r="F190" s="134">
        <f>'Memória de cálculo'!H542</f>
        <v>8.7275999999999989</v>
      </c>
      <c r="G190" s="132" t="s">
        <v>179</v>
      </c>
      <c r="H190" s="563">
        <v>0</v>
      </c>
      <c r="I190" s="563">
        <v>0</v>
      </c>
      <c r="J190" s="558">
        <f t="shared" ref="J190" si="12">(I190+H190)*F190</f>
        <v>0</v>
      </c>
      <c r="K190" s="235"/>
    </row>
    <row r="191" spans="2:11" ht="15.75" thickBot="1">
      <c r="B191" s="438" t="s">
        <v>31</v>
      </c>
      <c r="C191" s="439"/>
      <c r="D191" s="439"/>
      <c r="E191" s="439"/>
      <c r="F191" s="439"/>
      <c r="G191" s="439"/>
      <c r="H191" s="439"/>
      <c r="I191" s="440"/>
      <c r="J191" s="216">
        <f>SUM(J186:J190)</f>
        <v>0</v>
      </c>
      <c r="K191" s="232">
        <f>J191*1.273</f>
        <v>0</v>
      </c>
    </row>
    <row r="192" spans="2:11" ht="15.75" thickBot="1">
      <c r="B192" s="435" t="s">
        <v>380</v>
      </c>
      <c r="C192" s="436"/>
      <c r="D192" s="436"/>
      <c r="E192" s="436"/>
      <c r="F192" s="436"/>
      <c r="G192" s="436"/>
      <c r="H192" s="436"/>
      <c r="I192" s="436"/>
      <c r="J192" s="436"/>
      <c r="K192" s="437"/>
    </row>
    <row r="193" spans="2:11" s="144" customFormat="1">
      <c r="B193" s="140">
        <v>8</v>
      </c>
      <c r="C193" s="141" t="s">
        <v>36</v>
      </c>
      <c r="D193" s="141">
        <v>270000</v>
      </c>
      <c r="E193" s="142" t="s">
        <v>38</v>
      </c>
      <c r="F193" s="141"/>
      <c r="G193" s="141"/>
      <c r="H193" s="141"/>
      <c r="I193" s="141"/>
      <c r="J193" s="143"/>
      <c r="K193" s="233"/>
    </row>
    <row r="194" spans="2:11">
      <c r="B194" s="139" t="s">
        <v>151</v>
      </c>
      <c r="C194" s="132" t="s">
        <v>36</v>
      </c>
      <c r="D194" s="132">
        <v>270501</v>
      </c>
      <c r="E194" s="136" t="s">
        <v>63</v>
      </c>
      <c r="F194" s="134">
        <f>'Memória de cálculo'!H546</f>
        <v>42.66</v>
      </c>
      <c r="G194" s="132" t="s">
        <v>179</v>
      </c>
      <c r="H194" s="558">
        <v>0</v>
      </c>
      <c r="I194" s="558">
        <v>0</v>
      </c>
      <c r="J194" s="558">
        <v>0</v>
      </c>
      <c r="K194" s="235"/>
    </row>
    <row r="195" spans="2:11">
      <c r="B195" s="139" t="s">
        <v>152</v>
      </c>
      <c r="C195" s="132" t="s">
        <v>36</v>
      </c>
      <c r="D195" s="132">
        <v>270502</v>
      </c>
      <c r="E195" s="136" t="s">
        <v>198</v>
      </c>
      <c r="F195" s="134">
        <f>'Memória de cálculo'!H553</f>
        <v>36.875</v>
      </c>
      <c r="G195" s="132" t="s">
        <v>179</v>
      </c>
      <c r="H195" s="558">
        <v>0</v>
      </c>
      <c r="I195" s="558">
        <v>0</v>
      </c>
      <c r="J195" s="558">
        <f>(I195+H195)*F195</f>
        <v>0</v>
      </c>
      <c r="K195" s="235"/>
    </row>
    <row r="196" spans="2:11" ht="15.75" thickBot="1">
      <c r="B196" s="438" t="s">
        <v>31</v>
      </c>
      <c r="C196" s="439"/>
      <c r="D196" s="439"/>
      <c r="E196" s="439"/>
      <c r="F196" s="439"/>
      <c r="G196" s="439"/>
      <c r="H196" s="439"/>
      <c r="I196" s="440"/>
      <c r="J196" s="217">
        <f>SUM(J194:J195)</f>
        <v>0</v>
      </c>
      <c r="K196" s="236">
        <f>J196*1.273</f>
        <v>0</v>
      </c>
    </row>
    <row r="197" spans="2:11" ht="15.75" thickBot="1">
      <c r="B197" s="450" t="s">
        <v>39</v>
      </c>
      <c r="C197" s="451"/>
      <c r="D197" s="451"/>
      <c r="E197" s="451"/>
      <c r="F197" s="451"/>
      <c r="G197" s="451"/>
      <c r="H197" s="451"/>
      <c r="I197" s="451"/>
      <c r="J197" s="451"/>
      <c r="K197" s="452"/>
    </row>
    <row r="198" spans="2:11">
      <c r="B198" s="441" t="s">
        <v>15</v>
      </c>
      <c r="C198" s="442"/>
      <c r="D198" s="442"/>
      <c r="E198" s="442"/>
      <c r="F198" s="442"/>
      <c r="G198" s="442"/>
      <c r="H198" s="442"/>
      <c r="I198" s="443"/>
      <c r="J198" s="218">
        <f>SUM(J196,J191,J183,J173,J167,J163,J179)</f>
        <v>0</v>
      </c>
      <c r="K198" s="237"/>
    </row>
    <row r="199" spans="2:11">
      <c r="B199" s="444" t="s">
        <v>40</v>
      </c>
      <c r="C199" s="445"/>
      <c r="D199" s="445"/>
      <c r="E199" s="445"/>
      <c r="F199" s="445"/>
      <c r="G199" s="445"/>
      <c r="H199" s="445"/>
      <c r="I199" s="446"/>
      <c r="J199" s="217">
        <f>J198*0.273</f>
        <v>0</v>
      </c>
      <c r="K199" s="235"/>
    </row>
    <row r="200" spans="2:11" ht="15.75" thickBot="1">
      <c r="B200" s="447" t="s">
        <v>29</v>
      </c>
      <c r="C200" s="448"/>
      <c r="D200" s="448"/>
      <c r="E200" s="448"/>
      <c r="F200" s="448"/>
      <c r="G200" s="448"/>
      <c r="H200" s="448"/>
      <c r="I200" s="449"/>
      <c r="J200" s="219">
        <f>J199+J198</f>
        <v>0</v>
      </c>
      <c r="K200" s="238">
        <f>SUM(K196,K179,K191,K183,K173,K167,K163)</f>
        <v>0</v>
      </c>
    </row>
    <row r="201" spans="2:11" ht="15.75" thickBot="1">
      <c r="B201" s="531" t="s">
        <v>39</v>
      </c>
      <c r="C201" s="532"/>
      <c r="D201" s="532"/>
      <c r="E201" s="532"/>
      <c r="F201" s="532"/>
      <c r="G201" s="532"/>
      <c r="H201" s="532"/>
      <c r="I201" s="532"/>
      <c r="J201" s="532"/>
      <c r="K201" s="533"/>
    </row>
    <row r="202" spans="2:11">
      <c r="B202" s="441" t="s">
        <v>15</v>
      </c>
      <c r="C202" s="442"/>
      <c r="D202" s="442"/>
      <c r="E202" s="442"/>
      <c r="F202" s="442"/>
      <c r="G202" s="442"/>
      <c r="H202" s="442"/>
      <c r="I202" s="443"/>
      <c r="J202" s="218">
        <f>J198+J153+J99+J33</f>
        <v>0</v>
      </c>
      <c r="K202" s="237"/>
    </row>
    <row r="203" spans="2:11">
      <c r="B203" s="444" t="s">
        <v>40</v>
      </c>
      <c r="C203" s="445"/>
      <c r="D203" s="445"/>
      <c r="E203" s="445"/>
      <c r="F203" s="445"/>
      <c r="G203" s="445"/>
      <c r="H203" s="445"/>
      <c r="I203" s="446"/>
      <c r="J203" s="217">
        <f>J202*0.273</f>
        <v>0</v>
      </c>
      <c r="K203" s="235"/>
    </row>
    <row r="204" spans="2:11" ht="15.75" thickBot="1">
      <c r="B204" s="447" t="s">
        <v>29</v>
      </c>
      <c r="C204" s="448"/>
      <c r="D204" s="448"/>
      <c r="E204" s="448"/>
      <c r="F204" s="448"/>
      <c r="G204" s="448"/>
      <c r="H204" s="448"/>
      <c r="I204" s="449"/>
      <c r="J204" s="219">
        <f>J203+J202</f>
        <v>0</v>
      </c>
      <c r="K204" s="238">
        <f>K200+K155+K101+K35</f>
        <v>0</v>
      </c>
    </row>
    <row r="205" spans="2:11">
      <c r="K205" s="239"/>
    </row>
    <row r="206" spans="2:11">
      <c r="D206" s="184"/>
      <c r="E206" s="275"/>
      <c r="F206" s="184"/>
      <c r="G206" s="184"/>
      <c r="H206" s="220"/>
      <c r="I206" s="220"/>
      <c r="J206" s="220"/>
      <c r="K206" s="239"/>
    </row>
    <row r="207" spans="2:11">
      <c r="D207" s="275"/>
      <c r="E207" s="275"/>
      <c r="F207" s="458"/>
      <c r="G207" s="458"/>
      <c r="H207" s="458"/>
      <c r="I207" s="458"/>
      <c r="J207" s="458"/>
      <c r="K207" s="239"/>
    </row>
    <row r="208" spans="2:11" ht="23.25">
      <c r="D208" s="12"/>
      <c r="E208" s="12"/>
      <c r="F208" s="458"/>
      <c r="G208" s="458"/>
      <c r="H208" s="458"/>
      <c r="I208" s="458"/>
      <c r="J208" s="458"/>
      <c r="K208" s="239"/>
    </row>
    <row r="209" spans="4:11">
      <c r="D209" s="459" t="s">
        <v>44</v>
      </c>
      <c r="E209" s="459"/>
      <c r="F209" s="459" t="s">
        <v>44</v>
      </c>
      <c r="G209" s="459"/>
      <c r="H209" s="459"/>
      <c r="I209" s="459"/>
      <c r="J209" s="459"/>
      <c r="K209" s="239"/>
    </row>
    <row r="210" spans="4:11" ht="15.75">
      <c r="D210" s="457" t="s">
        <v>45</v>
      </c>
      <c r="E210" s="457"/>
      <c r="F210" s="457" t="s">
        <v>381</v>
      </c>
      <c r="G210" s="457"/>
      <c r="H210" s="457"/>
      <c r="I210" s="457"/>
      <c r="J210" s="457"/>
      <c r="K210" s="239"/>
    </row>
    <row r="211" spans="4:11" ht="15.75">
      <c r="D211" s="457" t="s">
        <v>46</v>
      </c>
      <c r="E211" s="457"/>
      <c r="F211" s="457" t="s">
        <v>382</v>
      </c>
      <c r="G211" s="457"/>
      <c r="H211" s="457"/>
      <c r="I211" s="457"/>
      <c r="J211" s="457"/>
      <c r="K211" s="239"/>
    </row>
    <row r="212" spans="4:11" ht="15.75">
      <c r="D212" s="457"/>
      <c r="E212" s="457"/>
      <c r="F212" s="457"/>
      <c r="G212" s="457"/>
      <c r="H212" s="275"/>
      <c r="I212" s="275"/>
      <c r="J212" s="1"/>
      <c r="K212" s="239"/>
    </row>
    <row r="213" spans="4:11">
      <c r="D213" s="184"/>
      <c r="E213" s="275"/>
      <c r="F213" s="184"/>
      <c r="G213" s="184"/>
      <c r="H213" s="220"/>
      <c r="I213" s="220"/>
      <c r="J213" s="220"/>
      <c r="K213" s="276"/>
    </row>
    <row r="214" spans="4:11">
      <c r="D214" s="184"/>
      <c r="E214" s="275"/>
      <c r="F214" s="184"/>
      <c r="G214" s="184"/>
      <c r="H214" s="220"/>
      <c r="I214" s="220"/>
      <c r="J214" s="220"/>
      <c r="K214" s="276"/>
    </row>
    <row r="215" spans="4:11">
      <c r="K215" s="239"/>
    </row>
    <row r="216" spans="4:11">
      <c r="K216" s="239"/>
    </row>
    <row r="217" spans="4:11">
      <c r="K217" s="239"/>
    </row>
    <row r="218" spans="4:11">
      <c r="K218" s="239"/>
    </row>
    <row r="219" spans="4:11">
      <c r="K219" s="239"/>
    </row>
    <row r="220" spans="4:11">
      <c r="K220" s="239"/>
    </row>
    <row r="221" spans="4:11">
      <c r="K221" s="239"/>
    </row>
    <row r="222" spans="4:11">
      <c r="K222" s="239"/>
    </row>
    <row r="223" spans="4:11">
      <c r="K223" s="239"/>
    </row>
    <row r="224" spans="4:11">
      <c r="K224" s="239"/>
    </row>
    <row r="225" spans="11:11">
      <c r="K225" s="239"/>
    </row>
    <row r="226" spans="11:11">
      <c r="K226" s="239"/>
    </row>
    <row r="227" spans="11:11">
      <c r="K227" s="239"/>
    </row>
    <row r="228" spans="11:11">
      <c r="K228" s="239"/>
    </row>
    <row r="229" spans="11:11">
      <c r="K229" s="239"/>
    </row>
    <row r="230" spans="11:11">
      <c r="K230" s="239"/>
    </row>
    <row r="231" spans="11:11">
      <c r="K231" s="239"/>
    </row>
    <row r="232" spans="11:11">
      <c r="K232" s="239"/>
    </row>
    <row r="233" spans="11:11">
      <c r="K233" s="239"/>
    </row>
    <row r="234" spans="11:11">
      <c r="K234" s="239"/>
    </row>
    <row r="235" spans="11:11">
      <c r="K235" s="239"/>
    </row>
    <row r="236" spans="11:11">
      <c r="K236" s="239"/>
    </row>
    <row r="237" spans="11:11">
      <c r="K237" s="239"/>
    </row>
    <row r="238" spans="11:11">
      <c r="K238" s="239"/>
    </row>
    <row r="239" spans="11:11">
      <c r="K239" s="239"/>
    </row>
    <row r="240" spans="11:11">
      <c r="K240" s="239"/>
    </row>
    <row r="241" spans="11:11">
      <c r="K241" s="239"/>
    </row>
    <row r="242" spans="11:11">
      <c r="K242" s="239"/>
    </row>
    <row r="243" spans="11:11">
      <c r="K243" s="239"/>
    </row>
    <row r="244" spans="11:11">
      <c r="K244" s="239"/>
    </row>
    <row r="245" spans="11:11">
      <c r="K245" s="239"/>
    </row>
    <row r="246" spans="11:11">
      <c r="K246" s="239"/>
    </row>
    <row r="247" spans="11:11">
      <c r="K247" s="239"/>
    </row>
    <row r="248" spans="11:11">
      <c r="K248" s="239"/>
    </row>
    <row r="249" spans="11:11">
      <c r="K249" s="239"/>
    </row>
    <row r="250" spans="11:11">
      <c r="K250" s="239"/>
    </row>
    <row r="251" spans="11:11">
      <c r="K251" s="239"/>
    </row>
    <row r="252" spans="11:11">
      <c r="K252" s="239"/>
    </row>
    <row r="253" spans="11:11">
      <c r="K253" s="239"/>
    </row>
    <row r="254" spans="11:11">
      <c r="K254" s="239"/>
    </row>
    <row r="255" spans="11:11">
      <c r="K255" s="239"/>
    </row>
    <row r="256" spans="11:11">
      <c r="K256" s="239"/>
    </row>
    <row r="257" spans="11:11">
      <c r="K257" s="239"/>
    </row>
    <row r="258" spans="11:11">
      <c r="K258" s="239"/>
    </row>
    <row r="259" spans="11:11">
      <c r="K259" s="239"/>
    </row>
    <row r="260" spans="11:11">
      <c r="K260" s="239"/>
    </row>
    <row r="261" spans="11:11">
      <c r="K261" s="239"/>
    </row>
    <row r="262" spans="11:11">
      <c r="K262" s="239"/>
    </row>
    <row r="263" spans="11:11">
      <c r="K263" s="239"/>
    </row>
    <row r="264" spans="11:11">
      <c r="K264" s="239"/>
    </row>
  </sheetData>
  <sheetProtection password="C324" sheet="1" objects="1" scenarios="1"/>
  <mergeCells count="138">
    <mergeCell ref="K18:K20"/>
    <mergeCell ref="K28:K30"/>
    <mergeCell ref="B174:K174"/>
    <mergeCell ref="B179:I179"/>
    <mergeCell ref="B201:K201"/>
    <mergeCell ref="B202:I202"/>
    <mergeCell ref="B203:I203"/>
    <mergeCell ref="B204:I204"/>
    <mergeCell ref="B32:K32"/>
    <mergeCell ref="B33:I33"/>
    <mergeCell ref="K33:K34"/>
    <mergeCell ref="B34:I34"/>
    <mergeCell ref="B35:I35"/>
    <mergeCell ref="K41:K43"/>
    <mergeCell ref="B56:I56"/>
    <mergeCell ref="B72:K72"/>
    <mergeCell ref="K93:K96"/>
    <mergeCell ref="K88:K90"/>
    <mergeCell ref="B75:I75"/>
    <mergeCell ref="F73:K73"/>
    <mergeCell ref="B71:I71"/>
    <mergeCell ref="K58:K70"/>
    <mergeCell ref="F58:J58"/>
    <mergeCell ref="B98:K98"/>
    <mergeCell ref="B99:I99"/>
    <mergeCell ref="B100:I100"/>
    <mergeCell ref="F59:J59"/>
    <mergeCell ref="F60:J60"/>
    <mergeCell ref="K83:K84"/>
    <mergeCell ref="B81:K81"/>
    <mergeCell ref="F82:K82"/>
    <mergeCell ref="B85:I85"/>
    <mergeCell ref="B76:K76"/>
    <mergeCell ref="F77:K77"/>
    <mergeCell ref="K78:K79"/>
    <mergeCell ref="B80:I80"/>
    <mergeCell ref="H83:I83"/>
    <mergeCell ref="B46:K46"/>
    <mergeCell ref="E47:K47"/>
    <mergeCell ref="B49:I49"/>
    <mergeCell ref="B50:K50"/>
    <mergeCell ref="E51:K51"/>
    <mergeCell ref="B86:K86"/>
    <mergeCell ref="E87:K87"/>
    <mergeCell ref="B97:I97"/>
    <mergeCell ref="B91:I91"/>
    <mergeCell ref="K52:K55"/>
    <mergeCell ref="B2:K2"/>
    <mergeCell ref="B3:K3"/>
    <mergeCell ref="B4:K4"/>
    <mergeCell ref="B5:K5"/>
    <mergeCell ref="B6:K6"/>
    <mergeCell ref="B11:K11"/>
    <mergeCell ref="E12:K12"/>
    <mergeCell ref="C10:D10"/>
    <mergeCell ref="B16:K16"/>
    <mergeCell ref="B15:I15"/>
    <mergeCell ref="K13:K14"/>
    <mergeCell ref="H13:I13"/>
    <mergeCell ref="B102:K102"/>
    <mergeCell ref="B103:K103"/>
    <mergeCell ref="C104:D104"/>
    <mergeCell ref="B105:K105"/>
    <mergeCell ref="E106:K106"/>
    <mergeCell ref="B7:K7"/>
    <mergeCell ref="B36:K36"/>
    <mergeCell ref="B37:K37"/>
    <mergeCell ref="B39:K39"/>
    <mergeCell ref="E40:K40"/>
    <mergeCell ref="C38:D38"/>
    <mergeCell ref="B8:K8"/>
    <mergeCell ref="E9:K9"/>
    <mergeCell ref="E17:K17"/>
    <mergeCell ref="B22:K22"/>
    <mergeCell ref="B21:I21"/>
    <mergeCell ref="B26:K26"/>
    <mergeCell ref="B25:I25"/>
    <mergeCell ref="B31:I31"/>
    <mergeCell ref="B101:I101"/>
    <mergeCell ref="K99:K100"/>
    <mergeCell ref="B92:K92"/>
    <mergeCell ref="B45:I45"/>
    <mergeCell ref="B57:K57"/>
    <mergeCell ref="K115:K117"/>
    <mergeCell ref="B118:I118"/>
    <mergeCell ref="B119:K119"/>
    <mergeCell ref="K120:K130"/>
    <mergeCell ref="B131:I131"/>
    <mergeCell ref="B108:I108"/>
    <mergeCell ref="B109:K109"/>
    <mergeCell ref="B112:I112"/>
    <mergeCell ref="B113:K113"/>
    <mergeCell ref="E114:K114"/>
    <mergeCell ref="B140:K140"/>
    <mergeCell ref="E141:K141"/>
    <mergeCell ref="K142:K144"/>
    <mergeCell ref="B145:I145"/>
    <mergeCell ref="B146:K146"/>
    <mergeCell ref="B132:K132"/>
    <mergeCell ref="E133:K133"/>
    <mergeCell ref="B135:I135"/>
    <mergeCell ref="B136:K136"/>
    <mergeCell ref="B139:I139"/>
    <mergeCell ref="B155:I155"/>
    <mergeCell ref="K147:K150"/>
    <mergeCell ref="B151:I151"/>
    <mergeCell ref="B152:K152"/>
    <mergeCell ref="B153:I153"/>
    <mergeCell ref="K153:K154"/>
    <mergeCell ref="B154:I154"/>
    <mergeCell ref="B156:K156"/>
    <mergeCell ref="B163:I163"/>
    <mergeCell ref="D212:E212"/>
    <mergeCell ref="F207:J208"/>
    <mergeCell ref="D209:E209"/>
    <mergeCell ref="F209:J209"/>
    <mergeCell ref="D210:E210"/>
    <mergeCell ref="F210:J210"/>
    <mergeCell ref="D211:E211"/>
    <mergeCell ref="F211:J211"/>
    <mergeCell ref="F212:G212"/>
    <mergeCell ref="B192:K192"/>
    <mergeCell ref="B157:K157"/>
    <mergeCell ref="B191:I191"/>
    <mergeCell ref="B198:I198"/>
    <mergeCell ref="B199:I199"/>
    <mergeCell ref="B200:I200"/>
    <mergeCell ref="B196:I196"/>
    <mergeCell ref="B197:K197"/>
    <mergeCell ref="C158:D158"/>
    <mergeCell ref="B159:K159"/>
    <mergeCell ref="B164:K164"/>
    <mergeCell ref="B168:K168"/>
    <mergeCell ref="B180:K180"/>
    <mergeCell ref="B184:K184"/>
    <mergeCell ref="B167:I167"/>
    <mergeCell ref="B173:I173"/>
    <mergeCell ref="B183:I183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horizontalDpi="4294967293" verticalDpi="4294967293" r:id="rId1"/>
  <rowBreaks count="1" manualBreakCount="1">
    <brk id="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555"/>
  <sheetViews>
    <sheetView showGridLines="0" view="pageBreakPreview" topLeftCell="A52" zoomScale="85" zoomScaleNormal="87" zoomScaleSheetLayoutView="85" workbookViewId="0">
      <selection activeCell="G55" sqref="G55"/>
    </sheetView>
  </sheetViews>
  <sheetFormatPr defaultRowHeight="12.75"/>
  <cols>
    <col min="1" max="1" width="9.140625" style="2"/>
    <col min="2" max="2" width="8.42578125" style="3" bestFit="1" customWidth="1"/>
    <col min="3" max="3" width="70.5703125" style="15" customWidth="1"/>
    <col min="4" max="4" width="13.7109375" style="3" customWidth="1"/>
    <col min="5" max="5" width="14" style="28" customWidth="1"/>
    <col min="6" max="6" width="13.42578125" style="21" customWidth="1"/>
    <col min="7" max="7" width="13.5703125" style="21" customWidth="1"/>
    <col min="8" max="8" width="20.42578125" style="3" customWidth="1"/>
    <col min="9" max="16384" width="9.140625" style="2"/>
  </cols>
  <sheetData>
    <row r="1" spans="2:11">
      <c r="B1" s="387" t="s">
        <v>0</v>
      </c>
      <c r="C1" s="388"/>
      <c r="D1" s="388"/>
      <c r="E1" s="388"/>
      <c r="F1" s="388"/>
      <c r="G1" s="388"/>
      <c r="H1" s="389"/>
    </row>
    <row r="2" spans="2:11">
      <c r="B2" s="390" t="s">
        <v>1</v>
      </c>
      <c r="C2" s="391"/>
      <c r="D2" s="391"/>
      <c r="E2" s="391"/>
      <c r="F2" s="391"/>
      <c r="G2" s="391"/>
      <c r="H2" s="392"/>
    </row>
    <row r="3" spans="2:11" ht="15">
      <c r="B3" s="390" t="s">
        <v>2</v>
      </c>
      <c r="C3" s="391"/>
      <c r="D3" s="391"/>
      <c r="E3" s="391"/>
      <c r="F3" s="391"/>
      <c r="G3" s="391"/>
      <c r="H3" s="392"/>
      <c r="I3"/>
      <c r="J3"/>
      <c r="K3"/>
    </row>
    <row r="4" spans="2:11" ht="15">
      <c r="B4" s="390" t="str">
        <f>Orçamento!B5</f>
        <v>REFORMA DO CENTRO COMUNITÁRIO</v>
      </c>
      <c r="C4" s="391"/>
      <c r="D4" s="391"/>
      <c r="E4" s="391"/>
      <c r="F4" s="391"/>
      <c r="G4" s="391"/>
      <c r="H4" s="392"/>
      <c r="I4"/>
      <c r="J4"/>
      <c r="K4"/>
    </row>
    <row r="5" spans="2:11" ht="15">
      <c r="B5" s="390" t="str">
        <f>[1]Plan2!A3</f>
        <v>ORÇAMENTO BÁSICO ESTIMADO</v>
      </c>
      <c r="C5" s="391"/>
      <c r="D5" s="391"/>
      <c r="E5" s="391"/>
      <c r="F5" s="391"/>
      <c r="G5" s="391"/>
      <c r="H5" s="392"/>
      <c r="I5"/>
      <c r="J5"/>
      <c r="K5"/>
    </row>
    <row r="6" spans="2:11" ht="15">
      <c r="B6" s="393" t="str">
        <f>Orçamento!E9</f>
        <v>25 DE JANEIRO DE 2018</v>
      </c>
      <c r="C6" s="394"/>
      <c r="D6" s="394"/>
      <c r="E6" s="394"/>
      <c r="F6" s="394"/>
      <c r="G6" s="394"/>
      <c r="H6" s="395"/>
      <c r="I6"/>
      <c r="J6"/>
      <c r="K6"/>
    </row>
    <row r="7" spans="2:11" ht="13.5" customHeight="1">
      <c r="B7" s="396" t="e">
        <f>#REF!</f>
        <v>#REF!</v>
      </c>
      <c r="C7" s="397"/>
      <c r="D7" s="397"/>
      <c r="E7" s="397"/>
      <c r="F7" s="397"/>
      <c r="G7" s="397"/>
      <c r="H7" s="398"/>
      <c r="I7"/>
      <c r="J7"/>
      <c r="K7"/>
    </row>
    <row r="8" spans="2:11" ht="11.25" customHeight="1" thickBot="1">
      <c r="B8" s="399" t="s">
        <v>154</v>
      </c>
      <c r="C8" s="400"/>
      <c r="D8" s="400"/>
      <c r="E8" s="400"/>
      <c r="F8" s="400"/>
      <c r="G8" s="400"/>
      <c r="H8" s="401"/>
      <c r="I8"/>
      <c r="J8"/>
      <c r="K8"/>
    </row>
    <row r="9" spans="2:11" ht="15.75" thickBot="1">
      <c r="B9" s="30" t="s">
        <v>3</v>
      </c>
      <c r="C9" s="115" t="s">
        <v>4</v>
      </c>
      <c r="D9" s="19" t="s">
        <v>5</v>
      </c>
      <c r="E9" s="372" t="s">
        <v>6</v>
      </c>
      <c r="F9" s="373"/>
      <c r="G9" s="374"/>
      <c r="H9" s="375"/>
      <c r="I9"/>
      <c r="J9"/>
      <c r="K9"/>
    </row>
    <row r="10" spans="2:11" ht="16.5" customHeight="1" thickBot="1">
      <c r="B10" s="347" t="s">
        <v>7</v>
      </c>
      <c r="C10" s="348"/>
      <c r="D10" s="348"/>
      <c r="E10" s="348"/>
      <c r="F10" s="348"/>
      <c r="G10" s="348"/>
      <c r="H10" s="349"/>
      <c r="I10"/>
      <c r="J10"/>
      <c r="K10"/>
    </row>
    <row r="11" spans="2:11" ht="16.5" customHeight="1">
      <c r="B11" s="108">
        <v>1</v>
      </c>
      <c r="C11" s="305" t="s">
        <v>8</v>
      </c>
      <c r="D11" s="305"/>
      <c r="E11" s="305"/>
      <c r="F11" s="305"/>
      <c r="G11" s="376"/>
      <c r="H11" s="350"/>
      <c r="I11"/>
      <c r="J11"/>
      <c r="K11"/>
    </row>
    <row r="12" spans="2:11" ht="63" customHeight="1">
      <c r="B12" s="214" t="s">
        <v>12</v>
      </c>
      <c r="C12" s="60" t="s">
        <v>304</v>
      </c>
      <c r="D12" s="211" t="s">
        <v>370</v>
      </c>
      <c r="E12" s="402">
        <v>3</v>
      </c>
      <c r="F12" s="403"/>
      <c r="G12" s="403"/>
      <c r="H12" s="404"/>
      <c r="I12"/>
      <c r="J12"/>
      <c r="K12"/>
    </row>
    <row r="13" spans="2:11" ht="16.5" customHeight="1">
      <c r="B13" s="380" t="s">
        <v>15</v>
      </c>
      <c r="C13" s="405"/>
      <c r="D13" s="405"/>
      <c r="E13" s="405"/>
      <c r="F13" s="405"/>
      <c r="G13" s="406"/>
      <c r="H13" s="43">
        <f>E12</f>
        <v>3</v>
      </c>
      <c r="I13"/>
      <c r="J13"/>
      <c r="K13"/>
    </row>
    <row r="14" spans="2:11" ht="38.25" customHeight="1">
      <c r="B14" s="214" t="s">
        <v>13</v>
      </c>
      <c r="C14" s="212" t="s">
        <v>305</v>
      </c>
      <c r="D14" s="214"/>
      <c r="E14" s="407" t="s">
        <v>306</v>
      </c>
      <c r="F14" s="408"/>
      <c r="G14" s="408"/>
      <c r="H14" s="409"/>
      <c r="I14"/>
      <c r="J14"/>
      <c r="K14"/>
    </row>
    <row r="15" spans="2:11" ht="16.5" customHeight="1" thickBot="1">
      <c r="B15" s="377" t="s">
        <v>15</v>
      </c>
      <c r="C15" s="378"/>
      <c r="D15" s="378"/>
      <c r="E15" s="378"/>
      <c r="F15" s="378"/>
      <c r="G15" s="379"/>
      <c r="H15" s="64">
        <f>1.5*2</f>
        <v>3</v>
      </c>
      <c r="I15"/>
      <c r="J15"/>
      <c r="K15"/>
    </row>
    <row r="16" spans="2:11" ht="16.5" customHeight="1" thickBot="1">
      <c r="B16" s="410" t="s">
        <v>16</v>
      </c>
      <c r="C16" s="411"/>
      <c r="D16" s="411"/>
      <c r="E16" s="411"/>
      <c r="F16" s="411"/>
      <c r="G16" s="412"/>
      <c r="H16" s="413"/>
      <c r="I16"/>
      <c r="J16"/>
      <c r="K16"/>
    </row>
    <row r="17" spans="2:11" ht="16.5" customHeight="1">
      <c r="B17" s="37">
        <v>2</v>
      </c>
      <c r="C17" s="368" t="s">
        <v>17</v>
      </c>
      <c r="D17" s="369"/>
      <c r="E17" s="369"/>
      <c r="F17" s="369"/>
      <c r="G17" s="369"/>
      <c r="H17" s="370"/>
      <c r="I17"/>
      <c r="J17"/>
      <c r="K17"/>
    </row>
    <row r="18" spans="2:11" ht="45" customHeight="1">
      <c r="B18" s="54" t="s">
        <v>18</v>
      </c>
      <c r="C18" s="212" t="s">
        <v>307</v>
      </c>
      <c r="D18" s="84" t="s">
        <v>310</v>
      </c>
      <c r="E18" s="330">
        <v>1</v>
      </c>
      <c r="F18" s="383"/>
      <c r="G18" s="383"/>
      <c r="H18" s="331"/>
      <c r="I18"/>
      <c r="J18"/>
      <c r="K18"/>
    </row>
    <row r="19" spans="2:11" ht="45" customHeight="1">
      <c r="B19" s="54" t="s">
        <v>331</v>
      </c>
      <c r="C19" s="254" t="str">
        <f>Orçamento!E19</f>
        <v xml:space="preserve">TRANSPORTE DE MATERIAIS/EQUIPAMENTOS/OUTROS ( INCLUSIVE OS DA MOBILIZAÇÃO E DESMOBILIZAÇÃO ) - CAMINHÃO CARROCERIA MADEIRA 15 T ( INCLUSO NO VALOR O RETORNO )
</v>
      </c>
      <c r="D19" s="255" t="str">
        <f>Orçamento!G19</f>
        <v xml:space="preserve">tkm </v>
      </c>
      <c r="E19" s="330">
        <v>81</v>
      </c>
      <c r="F19" s="383"/>
      <c r="G19" s="383"/>
      <c r="H19" s="331"/>
      <c r="I19"/>
      <c r="J19"/>
      <c r="K19"/>
    </row>
    <row r="20" spans="2:11" ht="38.25" customHeight="1" thickBot="1">
      <c r="B20" s="54" t="s">
        <v>385</v>
      </c>
      <c r="C20" s="254" t="s">
        <v>309</v>
      </c>
      <c r="D20" s="255" t="s">
        <v>310</v>
      </c>
      <c r="E20" s="414">
        <v>1</v>
      </c>
      <c r="F20" s="415"/>
      <c r="G20" s="415"/>
      <c r="H20" s="416"/>
      <c r="I20"/>
      <c r="J20"/>
      <c r="K20"/>
    </row>
    <row r="21" spans="2:11" ht="15.75" thickBot="1">
      <c r="B21" s="334" t="s">
        <v>311</v>
      </c>
      <c r="C21" s="335"/>
      <c r="D21" s="335"/>
      <c r="E21" s="335"/>
      <c r="F21" s="335"/>
      <c r="G21" s="335"/>
      <c r="H21" s="336"/>
      <c r="I21"/>
      <c r="J21"/>
      <c r="K21"/>
    </row>
    <row r="22" spans="2:11" ht="15">
      <c r="B22" s="49">
        <v>3</v>
      </c>
      <c r="C22" s="337" t="s">
        <v>312</v>
      </c>
      <c r="D22" s="338"/>
      <c r="E22" s="338"/>
      <c r="F22" s="338"/>
      <c r="G22" s="338"/>
      <c r="H22" s="339"/>
      <c r="I22"/>
      <c r="J22"/>
      <c r="K22"/>
    </row>
    <row r="23" spans="2:11" ht="15">
      <c r="B23" s="54" t="s">
        <v>58</v>
      </c>
      <c r="C23" s="210" t="s">
        <v>314</v>
      </c>
      <c r="D23" s="54" t="s">
        <v>363</v>
      </c>
      <c r="E23" s="43" t="s">
        <v>364</v>
      </c>
      <c r="F23" s="43" t="s">
        <v>365</v>
      </c>
      <c r="G23" s="43" t="s">
        <v>366</v>
      </c>
      <c r="H23" s="43" t="s">
        <v>11</v>
      </c>
      <c r="I23"/>
      <c r="J23"/>
      <c r="K23"/>
    </row>
    <row r="24" spans="2:11" ht="15">
      <c r="B24" s="54"/>
      <c r="C24" s="210" t="s">
        <v>362</v>
      </c>
      <c r="D24" s="43">
        <v>3</v>
      </c>
      <c r="E24" s="43">
        <v>4</v>
      </c>
      <c r="F24" s="43">
        <v>2</v>
      </c>
      <c r="G24" s="43">
        <v>8</v>
      </c>
      <c r="H24" s="43">
        <f>G24*F24*E24*D24</f>
        <v>192</v>
      </c>
      <c r="I24"/>
      <c r="J24"/>
      <c r="K24"/>
    </row>
    <row r="25" spans="2:11" ht="15">
      <c r="B25" s="54"/>
      <c r="C25" s="210" t="s">
        <v>367</v>
      </c>
      <c r="D25" s="43">
        <v>3</v>
      </c>
      <c r="E25" s="43">
        <v>4</v>
      </c>
      <c r="F25" s="43">
        <v>5</v>
      </c>
      <c r="G25" s="43">
        <v>12</v>
      </c>
      <c r="H25" s="43">
        <f>G25*F25*E25*D25</f>
        <v>720</v>
      </c>
      <c r="I25"/>
      <c r="J25"/>
      <c r="K25"/>
    </row>
    <row r="26" spans="2:11" ht="15.75" thickBot="1">
      <c r="B26" s="377" t="s">
        <v>15</v>
      </c>
      <c r="C26" s="378"/>
      <c r="D26" s="378"/>
      <c r="E26" s="378"/>
      <c r="F26" s="378"/>
      <c r="G26" s="379"/>
      <c r="H26" s="64">
        <f>H24+H25</f>
        <v>912</v>
      </c>
      <c r="I26"/>
      <c r="J26"/>
      <c r="K26"/>
    </row>
    <row r="27" spans="2:11" ht="15.75" thickBot="1">
      <c r="B27" s="334" t="s">
        <v>37</v>
      </c>
      <c r="C27" s="335"/>
      <c r="D27" s="335"/>
      <c r="E27" s="335"/>
      <c r="F27" s="335"/>
      <c r="G27" s="335"/>
      <c r="H27" s="336"/>
      <c r="I27"/>
      <c r="J27"/>
      <c r="K27"/>
    </row>
    <row r="28" spans="2:11" ht="15">
      <c r="B28" s="49">
        <v>4</v>
      </c>
      <c r="C28" s="337" t="s">
        <v>38</v>
      </c>
      <c r="D28" s="338"/>
      <c r="E28" s="338"/>
      <c r="F28" s="338"/>
      <c r="G28" s="338"/>
      <c r="H28" s="339"/>
      <c r="I28"/>
      <c r="J28"/>
      <c r="K28"/>
    </row>
    <row r="29" spans="2:11" ht="38.25">
      <c r="B29" s="31" t="s">
        <v>41</v>
      </c>
      <c r="C29" s="201" t="s">
        <v>318</v>
      </c>
      <c r="D29" s="201" t="s">
        <v>319</v>
      </c>
      <c r="E29" s="417">
        <v>1.2</v>
      </c>
      <c r="F29" s="418"/>
      <c r="G29" s="418"/>
      <c r="H29" s="419"/>
      <c r="I29"/>
      <c r="J29"/>
      <c r="K29"/>
    </row>
    <row r="30" spans="2:11" ht="15">
      <c r="B30" s="54" t="s">
        <v>42</v>
      </c>
      <c r="C30" s="201" t="s">
        <v>315</v>
      </c>
      <c r="D30" s="201" t="s">
        <v>316</v>
      </c>
      <c r="E30" s="274" t="s">
        <v>363</v>
      </c>
      <c r="F30" s="274" t="s">
        <v>371</v>
      </c>
      <c r="G30" s="274" t="s">
        <v>372</v>
      </c>
      <c r="H30" s="274" t="s">
        <v>373</v>
      </c>
      <c r="I30"/>
      <c r="J30"/>
      <c r="K30"/>
    </row>
    <row r="31" spans="2:11" ht="15">
      <c r="B31" s="183"/>
      <c r="C31" s="201"/>
      <c r="D31" s="201"/>
      <c r="E31" s="56">
        <v>3</v>
      </c>
      <c r="F31" s="56">
        <v>4</v>
      </c>
      <c r="G31" s="56">
        <v>5</v>
      </c>
      <c r="H31" s="56">
        <v>5</v>
      </c>
      <c r="I31"/>
      <c r="J31"/>
      <c r="K31"/>
    </row>
    <row r="32" spans="2:11" ht="15">
      <c r="B32" s="380" t="s">
        <v>15</v>
      </c>
      <c r="C32" s="405"/>
      <c r="D32" s="405"/>
      <c r="E32" s="405"/>
      <c r="F32" s="405"/>
      <c r="G32" s="406"/>
      <c r="H32" s="43">
        <f>E31*F31*G31*H31</f>
        <v>300</v>
      </c>
      <c r="I32"/>
      <c r="J32"/>
      <c r="K32"/>
    </row>
    <row r="33" spans="2:11" ht="15">
      <c r="B33" s="54" t="s">
        <v>105</v>
      </c>
      <c r="C33" s="201" t="s">
        <v>317</v>
      </c>
      <c r="D33" s="201" t="s">
        <v>316</v>
      </c>
      <c r="E33" s="274" t="s">
        <v>363</v>
      </c>
      <c r="F33" s="274" t="s">
        <v>371</v>
      </c>
      <c r="G33" s="274" t="s">
        <v>372</v>
      </c>
      <c r="H33" s="274" t="s">
        <v>373</v>
      </c>
      <c r="I33"/>
      <c r="J33"/>
      <c r="K33"/>
    </row>
    <row r="34" spans="2:11" ht="15">
      <c r="B34" s="183"/>
      <c r="C34" s="201"/>
      <c r="D34" s="201"/>
      <c r="E34" s="56">
        <v>3</v>
      </c>
      <c r="F34" s="56">
        <v>4</v>
      </c>
      <c r="G34" s="56">
        <v>5</v>
      </c>
      <c r="H34" s="56">
        <v>5</v>
      </c>
      <c r="I34"/>
      <c r="J34"/>
      <c r="K34"/>
    </row>
    <row r="35" spans="2:11" ht="15.75" thickBot="1">
      <c r="B35" s="380" t="s">
        <v>15</v>
      </c>
      <c r="C35" s="405"/>
      <c r="D35" s="405"/>
      <c r="E35" s="405"/>
      <c r="F35" s="405"/>
      <c r="G35" s="406"/>
      <c r="H35" s="43">
        <f>E34*F34*G34*H34</f>
        <v>300</v>
      </c>
      <c r="I35"/>
      <c r="J35"/>
      <c r="K35"/>
    </row>
    <row r="36" spans="2:11" ht="15.75" thickBot="1">
      <c r="B36" s="320" t="s">
        <v>65</v>
      </c>
      <c r="C36" s="321"/>
      <c r="D36" s="321"/>
      <c r="E36" s="321"/>
      <c r="F36" s="321"/>
      <c r="G36" s="321"/>
      <c r="H36" s="420"/>
      <c r="I36"/>
      <c r="J36"/>
      <c r="K36"/>
    </row>
    <row r="37" spans="2:11" ht="15.75" thickBot="1">
      <c r="B37" s="320" t="s">
        <v>66</v>
      </c>
      <c r="C37" s="321"/>
      <c r="D37" s="321"/>
      <c r="E37" s="321"/>
      <c r="F37" s="321"/>
      <c r="G37" s="321"/>
      <c r="H37" s="321"/>
      <c r="I37"/>
      <c r="J37"/>
      <c r="K37"/>
    </row>
    <row r="38" spans="2:11" ht="15.75" thickBot="1">
      <c r="B38" s="30" t="s">
        <v>3</v>
      </c>
      <c r="C38" s="115" t="s">
        <v>4</v>
      </c>
      <c r="D38" s="19" t="s">
        <v>5</v>
      </c>
      <c r="E38" s="372" t="s">
        <v>6</v>
      </c>
      <c r="F38" s="373"/>
      <c r="G38" s="374"/>
      <c r="H38" s="375"/>
      <c r="I38"/>
      <c r="J38"/>
      <c r="K38"/>
    </row>
    <row r="39" spans="2:11" ht="15.75" thickBot="1">
      <c r="B39" s="347" t="s">
        <v>7</v>
      </c>
      <c r="C39" s="348"/>
      <c r="D39" s="348"/>
      <c r="E39" s="348"/>
      <c r="F39" s="348"/>
      <c r="G39" s="348"/>
      <c r="H39" s="349"/>
      <c r="I39"/>
      <c r="J39"/>
      <c r="K39"/>
    </row>
    <row r="40" spans="2:11" ht="15">
      <c r="B40" s="108">
        <v>1</v>
      </c>
      <c r="C40" s="305" t="s">
        <v>8</v>
      </c>
      <c r="D40" s="305"/>
      <c r="E40" s="305"/>
      <c r="F40" s="305"/>
      <c r="G40" s="376"/>
      <c r="H40" s="350"/>
      <c r="I40"/>
      <c r="J40"/>
      <c r="K40"/>
    </row>
    <row r="41" spans="2:11" ht="15">
      <c r="B41" s="54" t="s">
        <v>12</v>
      </c>
      <c r="C41" s="55" t="s">
        <v>85</v>
      </c>
      <c r="D41" s="57" t="s">
        <v>9</v>
      </c>
      <c r="E41" s="79" t="s">
        <v>90</v>
      </c>
      <c r="F41" s="54" t="s">
        <v>48</v>
      </c>
      <c r="G41" s="54" t="s">
        <v>69</v>
      </c>
      <c r="H41" s="54" t="s">
        <v>11</v>
      </c>
      <c r="I41"/>
      <c r="J41"/>
      <c r="K41"/>
    </row>
    <row r="42" spans="2:11" customFormat="1" ht="15">
      <c r="B42" s="54"/>
      <c r="C42" s="24" t="s">
        <v>88</v>
      </c>
      <c r="D42" s="24"/>
      <c r="E42" s="79">
        <v>1.05</v>
      </c>
      <c r="F42" s="43">
        <v>2.1</v>
      </c>
      <c r="G42" s="43">
        <v>2</v>
      </c>
      <c r="H42" s="54">
        <f>G42*F42*E42</f>
        <v>4.41</v>
      </c>
    </row>
    <row r="43" spans="2:11" customFormat="1" ht="15">
      <c r="B43" s="380" t="s">
        <v>15</v>
      </c>
      <c r="C43" s="405"/>
      <c r="D43" s="405"/>
      <c r="E43" s="405"/>
      <c r="F43" s="405"/>
      <c r="G43" s="406"/>
      <c r="H43" s="43">
        <f>H42</f>
        <v>4.41</v>
      </c>
    </row>
    <row r="44" spans="2:11" customFormat="1" ht="15">
      <c r="B44" s="54" t="s">
        <v>13</v>
      </c>
      <c r="C44" s="60" t="s">
        <v>86</v>
      </c>
      <c r="D44" s="57" t="s">
        <v>9</v>
      </c>
      <c r="E44" s="79" t="s">
        <v>89</v>
      </c>
      <c r="F44" s="54" t="s">
        <v>48</v>
      </c>
      <c r="G44" s="54" t="s">
        <v>69</v>
      </c>
      <c r="H44" s="54" t="s">
        <v>11</v>
      </c>
    </row>
    <row r="45" spans="2:11" customFormat="1" ht="15">
      <c r="B45" s="54"/>
      <c r="C45" s="60" t="s">
        <v>284</v>
      </c>
      <c r="D45" s="24"/>
      <c r="E45" s="85">
        <f>4.6+2.85+4.6+2.85</f>
        <v>14.899999999999999</v>
      </c>
      <c r="F45" s="43">
        <v>1.8</v>
      </c>
      <c r="G45" s="208"/>
      <c r="H45" s="43">
        <f>F45*E45</f>
        <v>26.819999999999997</v>
      </c>
    </row>
    <row r="46" spans="2:11" customFormat="1" ht="15">
      <c r="B46" s="117"/>
      <c r="C46" s="60" t="s">
        <v>285</v>
      </c>
      <c r="D46" s="202"/>
      <c r="E46" s="43">
        <v>0.8</v>
      </c>
      <c r="F46" s="43">
        <v>1.8</v>
      </c>
      <c r="G46" s="43">
        <v>3</v>
      </c>
      <c r="H46" s="43">
        <f>F46*E46*G46</f>
        <v>4.32</v>
      </c>
    </row>
    <row r="47" spans="2:11" customFormat="1" ht="15">
      <c r="B47" s="117"/>
      <c r="C47" s="60" t="s">
        <v>286</v>
      </c>
      <c r="D47" s="202"/>
      <c r="E47" s="43">
        <v>2</v>
      </c>
      <c r="F47" s="43">
        <v>0.7</v>
      </c>
      <c r="G47" s="43">
        <v>1</v>
      </c>
      <c r="H47" s="43">
        <f>F47*E47*G47</f>
        <v>1.4</v>
      </c>
    </row>
    <row r="48" spans="2:11" customFormat="1" ht="15">
      <c r="B48" s="117"/>
      <c r="C48" s="60" t="s">
        <v>70</v>
      </c>
      <c r="D48" s="202"/>
      <c r="E48" s="43">
        <v>1.6</v>
      </c>
      <c r="F48" s="43">
        <v>0.7</v>
      </c>
      <c r="G48" s="43">
        <v>1</v>
      </c>
      <c r="H48" s="43">
        <f>F48*E48*G48</f>
        <v>1.1199999999999999</v>
      </c>
    </row>
    <row r="49" spans="2:8" customFormat="1" ht="15">
      <c r="B49" s="380" t="s">
        <v>15</v>
      </c>
      <c r="C49" s="405"/>
      <c r="D49" s="405"/>
      <c r="E49" s="405"/>
      <c r="F49" s="405"/>
      <c r="G49" s="406"/>
      <c r="H49" s="43">
        <f>H45-H46-H47-H48</f>
        <v>19.979999999999997</v>
      </c>
    </row>
    <row r="50" spans="2:8" customFormat="1" ht="15">
      <c r="B50" s="54" t="s">
        <v>14</v>
      </c>
      <c r="C50" s="60" t="s">
        <v>87</v>
      </c>
      <c r="D50" s="57" t="s">
        <v>53</v>
      </c>
      <c r="E50" s="80"/>
      <c r="F50" s="81"/>
      <c r="G50" s="81"/>
      <c r="H50" s="81"/>
    </row>
    <row r="51" spans="2:8" customFormat="1" ht="15">
      <c r="B51" s="82"/>
      <c r="C51" s="83" t="s">
        <v>91</v>
      </c>
      <c r="D51" s="84"/>
      <c r="E51" s="330">
        <v>1</v>
      </c>
      <c r="F51" s="383"/>
      <c r="G51" s="383"/>
      <c r="H51" s="331"/>
    </row>
    <row r="52" spans="2:8" customFormat="1" ht="15">
      <c r="B52" s="380" t="s">
        <v>15</v>
      </c>
      <c r="C52" s="405"/>
      <c r="D52" s="405"/>
      <c r="E52" s="405"/>
      <c r="F52" s="405"/>
      <c r="G52" s="406"/>
      <c r="H52" s="43">
        <f>E51</f>
        <v>1</v>
      </c>
    </row>
    <row r="53" spans="2:8" customFormat="1" ht="15">
      <c r="B53" s="54" t="s">
        <v>287</v>
      </c>
      <c r="C53" s="83" t="str">
        <f>Orçamento!E44</f>
        <v>DEM.PISO CERAM.SOBRE LASTRO CONC.C/TR.CB.E CARGA</v>
      </c>
      <c r="D53" s="54" t="str">
        <f>Orçamento!G44</f>
        <v xml:space="preserve"> m2 </v>
      </c>
      <c r="E53" s="79" t="s">
        <v>89</v>
      </c>
      <c r="F53" s="54" t="s">
        <v>48</v>
      </c>
      <c r="G53" s="54" t="s">
        <v>69</v>
      </c>
      <c r="H53" s="43"/>
    </row>
    <row r="54" spans="2:8" customFormat="1" ht="15">
      <c r="B54" s="82"/>
      <c r="C54" s="83" t="s">
        <v>289</v>
      </c>
      <c r="D54" s="84"/>
      <c r="E54" s="43">
        <f>11.6+19.7+11.6+19.7</f>
        <v>62.599999999999994</v>
      </c>
      <c r="F54" s="54">
        <v>7.0000000000000007E-2</v>
      </c>
      <c r="G54" s="54"/>
      <c r="H54" s="43">
        <f>E54*F54</f>
        <v>4.3819999999999997</v>
      </c>
    </row>
    <row r="55" spans="2:8" customFormat="1" ht="15">
      <c r="B55" s="82"/>
      <c r="C55" s="83" t="s">
        <v>285</v>
      </c>
      <c r="D55" s="84"/>
      <c r="E55" s="43">
        <v>1.05</v>
      </c>
      <c r="F55" s="43">
        <v>7.0000000000000007E-2</v>
      </c>
      <c r="G55" s="43">
        <v>2</v>
      </c>
      <c r="H55" s="43">
        <f>E55*F55*G55</f>
        <v>0.14700000000000002</v>
      </c>
    </row>
    <row r="56" spans="2:8" customFormat="1" ht="15">
      <c r="B56" s="82"/>
      <c r="C56" s="83" t="s">
        <v>285</v>
      </c>
      <c r="D56" s="84"/>
      <c r="E56" s="43">
        <v>1</v>
      </c>
      <c r="F56" s="43">
        <v>7.0000000000000007E-2</v>
      </c>
      <c r="G56" s="43">
        <v>1</v>
      </c>
      <c r="H56" s="43">
        <f>E56*F56*G56</f>
        <v>7.0000000000000007E-2</v>
      </c>
    </row>
    <row r="57" spans="2:8" customFormat="1" ht="15.75" thickBot="1">
      <c r="B57" s="377" t="s">
        <v>15</v>
      </c>
      <c r="C57" s="378"/>
      <c r="D57" s="378"/>
      <c r="E57" s="378"/>
      <c r="F57" s="378"/>
      <c r="G57" s="379"/>
      <c r="H57" s="64">
        <f>H54-H55-H56</f>
        <v>4.1649999999999991</v>
      </c>
    </row>
    <row r="58" spans="2:8" customFormat="1" ht="15.75" thickBot="1">
      <c r="B58" s="410" t="s">
        <v>16</v>
      </c>
      <c r="C58" s="411"/>
      <c r="D58" s="411"/>
      <c r="E58" s="411"/>
      <c r="F58" s="411"/>
      <c r="G58" s="412"/>
      <c r="H58" s="413"/>
    </row>
    <row r="59" spans="2:8">
      <c r="B59" s="37">
        <v>2</v>
      </c>
      <c r="C59" s="368" t="s">
        <v>17</v>
      </c>
      <c r="D59" s="369"/>
      <c r="E59" s="369"/>
      <c r="F59" s="369"/>
      <c r="G59" s="369"/>
      <c r="H59" s="370"/>
    </row>
    <row r="60" spans="2:8">
      <c r="B60" s="38" t="s">
        <v>18</v>
      </c>
      <c r="C60" s="39" t="s">
        <v>92</v>
      </c>
      <c r="D60" s="32" t="s">
        <v>93</v>
      </c>
      <c r="E60" s="310" t="s">
        <v>94</v>
      </c>
      <c r="F60" s="311"/>
      <c r="G60" s="311"/>
      <c r="H60" s="312"/>
    </row>
    <row r="61" spans="2:8" ht="13.5" thickBot="1">
      <c r="B61" s="332" t="s">
        <v>15</v>
      </c>
      <c r="C61" s="295"/>
      <c r="D61" s="295"/>
      <c r="E61" s="295"/>
      <c r="F61" s="295"/>
      <c r="G61" s="333"/>
      <c r="H61" s="98">
        <v>4</v>
      </c>
    </row>
    <row r="62" spans="2:8" ht="13.5" thickBot="1">
      <c r="B62" s="362" t="s">
        <v>19</v>
      </c>
      <c r="C62" s="363"/>
      <c r="D62" s="363"/>
      <c r="E62" s="363"/>
      <c r="F62" s="363"/>
      <c r="G62" s="363"/>
      <c r="H62" s="364"/>
    </row>
    <row r="63" spans="2:8">
      <c r="B63" s="49">
        <v>3</v>
      </c>
      <c r="C63" s="120" t="s">
        <v>32</v>
      </c>
      <c r="D63" s="10"/>
      <c r="E63" s="11"/>
      <c r="F63" s="11"/>
      <c r="G63" s="11"/>
      <c r="H63" s="25"/>
    </row>
    <row r="64" spans="2:8">
      <c r="B64" s="54" t="s">
        <v>58</v>
      </c>
      <c r="C64" s="24" t="s">
        <v>96</v>
      </c>
      <c r="D64" s="9" t="s">
        <v>53</v>
      </c>
      <c r="E64" s="365"/>
      <c r="F64" s="366"/>
      <c r="G64" s="366"/>
      <c r="H64" s="381"/>
    </row>
    <row r="65" spans="2:8">
      <c r="B65" s="54"/>
      <c r="C65" s="24" t="s">
        <v>88</v>
      </c>
      <c r="D65" s="24"/>
      <c r="E65" s="355">
        <v>8</v>
      </c>
      <c r="F65" s="356"/>
      <c r="G65" s="356"/>
      <c r="H65" s="382"/>
    </row>
    <row r="66" spans="2:8">
      <c r="B66" s="293" t="s">
        <v>15</v>
      </c>
      <c r="C66" s="294"/>
      <c r="D66" s="294"/>
      <c r="E66" s="294"/>
      <c r="F66" s="294"/>
      <c r="G66" s="296"/>
      <c r="H66" s="40">
        <f>E65</f>
        <v>8</v>
      </c>
    </row>
    <row r="67" spans="2:8">
      <c r="B67" s="54" t="s">
        <v>59</v>
      </c>
      <c r="C67" s="24" t="s">
        <v>95</v>
      </c>
      <c r="D67" s="9" t="s">
        <v>53</v>
      </c>
      <c r="E67" s="365"/>
      <c r="F67" s="366"/>
      <c r="G67" s="366"/>
      <c r="H67" s="381"/>
    </row>
    <row r="68" spans="2:8">
      <c r="B68" s="54"/>
      <c r="C68" s="24" t="s">
        <v>88</v>
      </c>
      <c r="D68" s="24"/>
      <c r="E68" s="355">
        <v>4</v>
      </c>
      <c r="F68" s="356"/>
      <c r="G68" s="356"/>
      <c r="H68" s="382"/>
    </row>
    <row r="69" spans="2:8">
      <c r="B69" s="293" t="s">
        <v>15</v>
      </c>
      <c r="C69" s="294"/>
      <c r="D69" s="294"/>
      <c r="E69" s="294"/>
      <c r="F69" s="294"/>
      <c r="G69" s="296"/>
      <c r="H69" s="40">
        <f>E68</f>
        <v>4</v>
      </c>
    </row>
    <row r="70" spans="2:8" ht="38.25">
      <c r="B70" s="54" t="s">
        <v>60</v>
      </c>
      <c r="C70" s="42" t="s">
        <v>97</v>
      </c>
      <c r="D70" s="9" t="s">
        <v>53</v>
      </c>
      <c r="E70" s="365"/>
      <c r="F70" s="366"/>
      <c r="G70" s="366"/>
      <c r="H70" s="381"/>
    </row>
    <row r="71" spans="2:8">
      <c r="B71" s="54"/>
      <c r="C71" s="42" t="s">
        <v>98</v>
      </c>
      <c r="D71" s="9"/>
      <c r="E71" s="355">
        <v>1</v>
      </c>
      <c r="F71" s="356"/>
      <c r="G71" s="356"/>
      <c r="H71" s="382"/>
    </row>
    <row r="72" spans="2:8">
      <c r="B72" s="54"/>
      <c r="C72" s="24" t="s">
        <v>99</v>
      </c>
      <c r="D72" s="24"/>
      <c r="E72" s="355">
        <v>1</v>
      </c>
      <c r="F72" s="356"/>
      <c r="G72" s="356"/>
      <c r="H72" s="382"/>
    </row>
    <row r="73" spans="2:8">
      <c r="B73" s="293" t="s">
        <v>15</v>
      </c>
      <c r="C73" s="294"/>
      <c r="D73" s="294"/>
      <c r="E73" s="294"/>
      <c r="F73" s="294"/>
      <c r="G73" s="296"/>
      <c r="H73" s="40">
        <f>SUM(E71:H72)</f>
        <v>2</v>
      </c>
    </row>
    <row r="74" spans="2:8">
      <c r="B74" s="54" t="s">
        <v>61</v>
      </c>
      <c r="C74" s="24" t="s">
        <v>100</v>
      </c>
      <c r="D74" s="9" t="s">
        <v>53</v>
      </c>
      <c r="E74" s="365"/>
      <c r="F74" s="366"/>
      <c r="G74" s="366"/>
      <c r="H74" s="381"/>
    </row>
    <row r="75" spans="2:8">
      <c r="B75" s="54"/>
      <c r="C75" s="42" t="s">
        <v>98</v>
      </c>
      <c r="D75" s="9"/>
      <c r="E75" s="355">
        <v>1</v>
      </c>
      <c r="F75" s="356"/>
      <c r="G75" s="356"/>
      <c r="H75" s="382"/>
    </row>
    <row r="76" spans="2:8">
      <c r="B76" s="54"/>
      <c r="C76" s="24" t="s">
        <v>99</v>
      </c>
      <c r="D76" s="24"/>
      <c r="E76" s="355">
        <v>1</v>
      </c>
      <c r="F76" s="356"/>
      <c r="G76" s="356"/>
      <c r="H76" s="382"/>
    </row>
    <row r="77" spans="2:8" ht="13.5" thickBot="1">
      <c r="B77" s="332" t="s">
        <v>15</v>
      </c>
      <c r="C77" s="295"/>
      <c r="D77" s="295"/>
      <c r="E77" s="295"/>
      <c r="F77" s="295"/>
      <c r="G77" s="333"/>
      <c r="H77" s="98">
        <f>SUM(E75:H76)</f>
        <v>2</v>
      </c>
    </row>
    <row r="78" spans="2:8" ht="13.5" thickBot="1">
      <c r="B78" s="334" t="s">
        <v>101</v>
      </c>
      <c r="C78" s="335"/>
      <c r="D78" s="335"/>
      <c r="E78" s="335"/>
      <c r="F78" s="335"/>
      <c r="G78" s="335"/>
      <c r="H78" s="336"/>
    </row>
    <row r="79" spans="2:8" ht="15" customHeight="1">
      <c r="B79" s="49">
        <v>4</v>
      </c>
      <c r="C79" s="68" t="s">
        <v>102</v>
      </c>
      <c r="D79" s="10"/>
      <c r="E79" s="11"/>
      <c r="F79" s="11"/>
      <c r="G79" s="11"/>
      <c r="H79" s="25"/>
    </row>
    <row r="80" spans="2:8" ht="15" customHeight="1">
      <c r="B80" s="54" t="s">
        <v>41</v>
      </c>
      <c r="C80" s="93" t="s">
        <v>103</v>
      </c>
      <c r="D80" s="24"/>
      <c r="E80" s="365"/>
      <c r="F80" s="366"/>
      <c r="G80" s="366"/>
      <c r="H80" s="381"/>
    </row>
    <row r="81" spans="2:8" ht="15" customHeight="1">
      <c r="B81" s="54" t="s">
        <v>42</v>
      </c>
      <c r="C81" s="94" t="s">
        <v>104</v>
      </c>
      <c r="D81" s="24"/>
      <c r="E81" s="365"/>
      <c r="F81" s="366"/>
      <c r="G81" s="366"/>
      <c r="H81" s="381"/>
    </row>
    <row r="82" spans="2:8">
      <c r="B82" s="54" t="s">
        <v>105</v>
      </c>
      <c r="C82" s="94" t="s">
        <v>106</v>
      </c>
      <c r="D82" s="54" t="s">
        <v>53</v>
      </c>
      <c r="E82" s="365"/>
      <c r="F82" s="366"/>
      <c r="G82" s="366"/>
      <c r="H82" s="381"/>
    </row>
    <row r="83" spans="2:8">
      <c r="B83" s="54"/>
      <c r="C83" s="2" t="s">
        <v>91</v>
      </c>
      <c r="D83" s="24"/>
      <c r="E83" s="355">
        <v>1</v>
      </c>
      <c r="F83" s="356"/>
      <c r="G83" s="356"/>
      <c r="H83" s="382"/>
    </row>
    <row r="84" spans="2:8">
      <c r="B84" s="293" t="s">
        <v>15</v>
      </c>
      <c r="C84" s="294"/>
      <c r="D84" s="294"/>
      <c r="E84" s="294"/>
      <c r="F84" s="294"/>
      <c r="G84" s="296"/>
      <c r="H84" s="40">
        <f>SUM(E83)</f>
        <v>1</v>
      </c>
    </row>
    <row r="85" spans="2:8" ht="15" customHeight="1">
      <c r="B85" s="54" t="s">
        <v>107</v>
      </c>
      <c r="C85" s="94" t="s">
        <v>114</v>
      </c>
      <c r="D85" s="54" t="s">
        <v>53</v>
      </c>
      <c r="E85" s="384"/>
      <c r="F85" s="385"/>
      <c r="G85" s="385"/>
      <c r="H85" s="386"/>
    </row>
    <row r="86" spans="2:8" ht="15" customHeight="1">
      <c r="B86" s="54"/>
      <c r="C86" s="2" t="s">
        <v>91</v>
      </c>
      <c r="D86" s="24"/>
      <c r="E86" s="355">
        <v>1</v>
      </c>
      <c r="F86" s="356"/>
      <c r="G86" s="356"/>
      <c r="H86" s="382"/>
    </row>
    <row r="87" spans="2:8" ht="15" customHeight="1">
      <c r="B87" s="293" t="s">
        <v>15</v>
      </c>
      <c r="C87" s="294"/>
      <c r="D87" s="294"/>
      <c r="E87" s="294"/>
      <c r="F87" s="294"/>
      <c r="G87" s="296"/>
      <c r="H87" s="40">
        <f>SUM(E86)</f>
        <v>1</v>
      </c>
    </row>
    <row r="88" spans="2:8" ht="15" customHeight="1">
      <c r="B88" s="54" t="s">
        <v>109</v>
      </c>
      <c r="C88" s="94" t="s">
        <v>297</v>
      </c>
      <c r="D88" s="54" t="s">
        <v>53</v>
      </c>
      <c r="E88" s="384"/>
      <c r="F88" s="385"/>
      <c r="G88" s="385"/>
      <c r="H88" s="386"/>
    </row>
    <row r="89" spans="2:8" ht="15" customHeight="1">
      <c r="B89" s="82"/>
      <c r="C89" s="155" t="s">
        <v>81</v>
      </c>
      <c r="D89" s="82"/>
      <c r="E89" s="344">
        <v>2</v>
      </c>
      <c r="F89" s="345"/>
      <c r="G89" s="345"/>
      <c r="H89" s="346"/>
    </row>
    <row r="90" spans="2:8" ht="15" customHeight="1">
      <c r="B90" s="82"/>
      <c r="C90" s="155" t="s">
        <v>80</v>
      </c>
      <c r="D90" s="82"/>
      <c r="E90" s="344">
        <v>3</v>
      </c>
      <c r="F90" s="345"/>
      <c r="G90" s="345"/>
      <c r="H90" s="346"/>
    </row>
    <row r="91" spans="2:8" ht="15" customHeight="1">
      <c r="B91" s="293" t="s">
        <v>15</v>
      </c>
      <c r="C91" s="294"/>
      <c r="D91" s="294"/>
      <c r="E91" s="294"/>
      <c r="F91" s="294"/>
      <c r="G91" s="296"/>
      <c r="H91" s="40">
        <f>E90+E89</f>
        <v>5</v>
      </c>
    </row>
    <row r="92" spans="2:8" ht="15" customHeight="1">
      <c r="B92" s="54" t="s">
        <v>111</v>
      </c>
      <c r="C92" s="94" t="s">
        <v>299</v>
      </c>
      <c r="D92" s="54" t="s">
        <v>53</v>
      </c>
      <c r="E92" s="384"/>
      <c r="F92" s="385"/>
      <c r="G92" s="385"/>
      <c r="H92" s="386"/>
    </row>
    <row r="93" spans="2:8" ht="15" customHeight="1">
      <c r="B93" s="82"/>
      <c r="C93" s="155" t="s">
        <v>81</v>
      </c>
      <c r="D93" s="82"/>
      <c r="E93" s="344">
        <v>2</v>
      </c>
      <c r="F93" s="345"/>
      <c r="G93" s="345"/>
      <c r="H93" s="346"/>
    </row>
    <row r="94" spans="2:8" ht="15" customHeight="1">
      <c r="B94" s="82"/>
      <c r="C94" s="155" t="s">
        <v>80</v>
      </c>
      <c r="D94" s="82"/>
      <c r="E94" s="344">
        <v>3</v>
      </c>
      <c r="F94" s="345"/>
      <c r="G94" s="345"/>
      <c r="H94" s="346"/>
    </row>
    <row r="95" spans="2:8" ht="15" customHeight="1">
      <c r="B95" s="293" t="s">
        <v>15</v>
      </c>
      <c r="C95" s="294"/>
      <c r="D95" s="294"/>
      <c r="E95" s="294"/>
      <c r="F95" s="294"/>
      <c r="G95" s="296"/>
      <c r="H95" s="40">
        <f>E94+E93</f>
        <v>5</v>
      </c>
    </row>
    <row r="96" spans="2:8" ht="15" customHeight="1">
      <c r="B96" s="110"/>
      <c r="C96" s="110"/>
      <c r="D96" s="110"/>
      <c r="E96" s="110"/>
      <c r="F96" s="110"/>
      <c r="G96" s="110"/>
      <c r="H96" s="209"/>
    </row>
    <row r="97" spans="2:8" ht="15" customHeight="1">
      <c r="B97" s="54" t="s">
        <v>112</v>
      </c>
      <c r="C97" s="94" t="s">
        <v>108</v>
      </c>
      <c r="D97" s="82"/>
      <c r="E97" s="384"/>
      <c r="F97" s="385"/>
      <c r="G97" s="385"/>
      <c r="H97" s="386"/>
    </row>
    <row r="98" spans="2:8" ht="15" customHeight="1">
      <c r="B98" s="54" t="s">
        <v>113</v>
      </c>
      <c r="C98" s="94" t="s">
        <v>110</v>
      </c>
      <c r="D98" s="54" t="s">
        <v>53</v>
      </c>
      <c r="E98" s="384"/>
      <c r="F98" s="385"/>
      <c r="G98" s="385"/>
      <c r="H98" s="386"/>
    </row>
    <row r="99" spans="2:8" ht="15" customHeight="1">
      <c r="B99" s="82"/>
      <c r="C99" s="24" t="s">
        <v>91</v>
      </c>
      <c r="D99" s="82"/>
      <c r="E99" s="330">
        <v>2</v>
      </c>
      <c r="F99" s="383"/>
      <c r="G99" s="383"/>
      <c r="H99" s="331"/>
    </row>
    <row r="100" spans="2:8" ht="15" customHeight="1">
      <c r="B100" s="82"/>
      <c r="C100" s="24" t="s">
        <v>115</v>
      </c>
      <c r="D100" s="82"/>
      <c r="E100" s="330">
        <v>2</v>
      </c>
      <c r="F100" s="383"/>
      <c r="G100" s="383"/>
      <c r="H100" s="331"/>
    </row>
    <row r="101" spans="2:8" ht="15" customHeight="1">
      <c r="B101" s="293" t="s">
        <v>15</v>
      </c>
      <c r="C101" s="294"/>
      <c r="D101" s="294"/>
      <c r="E101" s="294"/>
      <c r="F101" s="294"/>
      <c r="G101" s="296"/>
      <c r="H101" s="40">
        <f>SUM(E99:H100)</f>
        <v>4</v>
      </c>
    </row>
    <row r="102" spans="2:8" ht="15" customHeight="1">
      <c r="B102" s="54" t="s">
        <v>117</v>
      </c>
      <c r="C102" s="94" t="s">
        <v>116</v>
      </c>
      <c r="D102" s="82"/>
      <c r="E102" s="384"/>
      <c r="F102" s="385"/>
      <c r="G102" s="385"/>
      <c r="H102" s="386"/>
    </row>
    <row r="103" spans="2:8" ht="15" customHeight="1">
      <c r="B103" s="54" t="s">
        <v>119</v>
      </c>
      <c r="C103" s="94" t="s">
        <v>386</v>
      </c>
      <c r="D103" s="9" t="s">
        <v>53</v>
      </c>
      <c r="E103" s="384"/>
      <c r="F103" s="385"/>
      <c r="G103" s="385"/>
      <c r="H103" s="386"/>
    </row>
    <row r="104" spans="2:8" ht="15" customHeight="1">
      <c r="B104" s="82"/>
      <c r="C104" s="83" t="s">
        <v>47</v>
      </c>
      <c r="D104" s="82"/>
      <c r="E104" s="330">
        <v>1</v>
      </c>
      <c r="F104" s="383"/>
      <c r="G104" s="383"/>
      <c r="H104" s="331"/>
    </row>
    <row r="105" spans="2:8" ht="15" customHeight="1">
      <c r="B105" s="293" t="s">
        <v>15</v>
      </c>
      <c r="C105" s="294"/>
      <c r="D105" s="294"/>
      <c r="E105" s="294"/>
      <c r="F105" s="294"/>
      <c r="G105" s="296"/>
      <c r="H105" s="40">
        <f>SUM(E104)</f>
        <v>1</v>
      </c>
    </row>
    <row r="106" spans="2:8" ht="15" customHeight="1">
      <c r="B106" s="54" t="s">
        <v>302</v>
      </c>
      <c r="C106" s="94" t="s">
        <v>118</v>
      </c>
      <c r="D106" s="82"/>
      <c r="E106" s="384"/>
      <c r="F106" s="385"/>
      <c r="G106" s="385"/>
      <c r="H106" s="386"/>
    </row>
    <row r="107" spans="2:8" ht="15" customHeight="1">
      <c r="B107" s="54" t="s">
        <v>303</v>
      </c>
      <c r="C107" s="94" t="s">
        <v>120</v>
      </c>
      <c r="D107" s="9" t="s">
        <v>53</v>
      </c>
      <c r="E107" s="384"/>
      <c r="F107" s="385"/>
      <c r="G107" s="385"/>
      <c r="H107" s="386"/>
    </row>
    <row r="108" spans="2:8" ht="15" customHeight="1">
      <c r="B108" s="82"/>
      <c r="C108" s="24" t="s">
        <v>115</v>
      </c>
      <c r="D108" s="82"/>
      <c r="E108" s="330">
        <v>1</v>
      </c>
      <c r="F108" s="383"/>
      <c r="G108" s="383"/>
      <c r="H108" s="331"/>
    </row>
    <row r="109" spans="2:8" ht="15" customHeight="1" thickBot="1">
      <c r="B109" s="332" t="s">
        <v>15</v>
      </c>
      <c r="C109" s="295"/>
      <c r="D109" s="295"/>
      <c r="E109" s="295"/>
      <c r="F109" s="295"/>
      <c r="G109" s="333"/>
      <c r="H109" s="98">
        <f>SUM(E108)</f>
        <v>1</v>
      </c>
    </row>
    <row r="110" spans="2:8" ht="15" customHeight="1" thickBot="1">
      <c r="B110" s="334" t="s">
        <v>121</v>
      </c>
      <c r="C110" s="335"/>
      <c r="D110" s="335"/>
      <c r="E110" s="335"/>
      <c r="F110" s="335"/>
      <c r="G110" s="335"/>
      <c r="H110" s="336"/>
    </row>
    <row r="111" spans="2:8" ht="15" customHeight="1">
      <c r="B111" s="49">
        <v>5</v>
      </c>
      <c r="C111" s="99" t="s">
        <v>122</v>
      </c>
      <c r="D111" s="10"/>
      <c r="E111" s="11"/>
      <c r="F111" s="11"/>
      <c r="G111" s="11"/>
      <c r="H111" s="25"/>
    </row>
    <row r="112" spans="2:8" ht="25.5" customHeight="1">
      <c r="B112" s="7" t="s">
        <v>54</v>
      </c>
      <c r="C112" s="60" t="s">
        <v>123</v>
      </c>
      <c r="D112" s="59" t="s">
        <v>30</v>
      </c>
      <c r="E112" s="175" t="s">
        <v>90</v>
      </c>
      <c r="F112" s="175" t="s">
        <v>48</v>
      </c>
      <c r="G112" s="175" t="s">
        <v>69</v>
      </c>
      <c r="H112" s="175" t="s">
        <v>11</v>
      </c>
    </row>
    <row r="113" spans="2:8" ht="15" customHeight="1">
      <c r="B113" s="7"/>
      <c r="C113" s="5" t="s">
        <v>88</v>
      </c>
      <c r="D113" s="6"/>
      <c r="E113" s="175">
        <v>2.1</v>
      </c>
      <c r="F113" s="175">
        <v>2.1</v>
      </c>
      <c r="G113" s="175">
        <v>1</v>
      </c>
      <c r="H113" s="175">
        <f>G113*F113*E113</f>
        <v>4.41</v>
      </c>
    </row>
    <row r="114" spans="2:8" ht="15" customHeight="1" thickBot="1">
      <c r="B114" s="332" t="s">
        <v>15</v>
      </c>
      <c r="C114" s="295"/>
      <c r="D114" s="295"/>
      <c r="E114" s="295"/>
      <c r="F114" s="295"/>
      <c r="G114" s="333"/>
      <c r="H114" s="98">
        <f>H113</f>
        <v>4.41</v>
      </c>
    </row>
    <row r="115" spans="2:8" ht="15" customHeight="1" thickBot="1">
      <c r="B115" s="334" t="s">
        <v>124</v>
      </c>
      <c r="C115" s="335"/>
      <c r="D115" s="335"/>
      <c r="E115" s="335"/>
      <c r="F115" s="335"/>
      <c r="G115" s="335"/>
      <c r="H115" s="336"/>
    </row>
    <row r="116" spans="2:8">
      <c r="B116" s="49">
        <v>6</v>
      </c>
      <c r="C116" s="116" t="s">
        <v>125</v>
      </c>
      <c r="D116" s="10"/>
      <c r="E116" s="11"/>
      <c r="F116" s="11"/>
      <c r="G116" s="11"/>
      <c r="H116" s="25"/>
    </row>
    <row r="117" spans="2:8">
      <c r="B117" s="54" t="s">
        <v>20</v>
      </c>
      <c r="C117" s="60" t="s">
        <v>126</v>
      </c>
      <c r="D117" s="59" t="s">
        <v>30</v>
      </c>
      <c r="E117" s="175" t="s">
        <v>90</v>
      </c>
      <c r="F117" s="175" t="s">
        <v>48</v>
      </c>
      <c r="G117" s="175" t="s">
        <v>69</v>
      </c>
      <c r="H117" s="175" t="s">
        <v>11</v>
      </c>
    </row>
    <row r="118" spans="2:8" s="17" customFormat="1">
      <c r="B118" s="54"/>
      <c r="C118" s="5" t="s">
        <v>128</v>
      </c>
      <c r="D118" s="6"/>
      <c r="E118" s="175">
        <v>2.1</v>
      </c>
      <c r="F118" s="175">
        <v>2.1</v>
      </c>
      <c r="G118" s="175">
        <v>1</v>
      </c>
      <c r="H118" s="175">
        <f>G118*F118*E118</f>
        <v>4.41</v>
      </c>
    </row>
    <row r="119" spans="2:8" s="17" customFormat="1">
      <c r="B119" s="332" t="s">
        <v>15</v>
      </c>
      <c r="C119" s="295"/>
      <c r="D119" s="295"/>
      <c r="E119" s="295"/>
      <c r="F119" s="295"/>
      <c r="G119" s="333"/>
      <c r="H119" s="98">
        <f>H118</f>
        <v>4.41</v>
      </c>
    </row>
    <row r="120" spans="2:8" s="17" customFormat="1">
      <c r="B120" s="54" t="s">
        <v>55</v>
      </c>
      <c r="C120" s="60" t="s">
        <v>127</v>
      </c>
      <c r="D120" s="59" t="s">
        <v>30</v>
      </c>
      <c r="E120" s="175" t="s">
        <v>90</v>
      </c>
      <c r="F120" s="175" t="s">
        <v>48</v>
      </c>
      <c r="G120" s="175" t="s">
        <v>69</v>
      </c>
      <c r="H120" s="175" t="s">
        <v>11</v>
      </c>
    </row>
    <row r="121" spans="2:8" s="17" customFormat="1">
      <c r="B121" s="54"/>
      <c r="C121" s="5" t="s">
        <v>129</v>
      </c>
      <c r="D121" s="24"/>
      <c r="E121" s="85">
        <v>1</v>
      </c>
      <c r="F121" s="54">
        <v>0.15</v>
      </c>
      <c r="G121" s="43">
        <v>3</v>
      </c>
      <c r="H121" s="43">
        <f>G121*F121*E121</f>
        <v>0.44999999999999996</v>
      </c>
    </row>
    <row r="122" spans="2:8" s="17" customFormat="1" ht="13.5" thickBot="1">
      <c r="B122" s="332" t="s">
        <v>15</v>
      </c>
      <c r="C122" s="295"/>
      <c r="D122" s="295"/>
      <c r="E122" s="295"/>
      <c r="F122" s="295"/>
      <c r="G122" s="333"/>
      <c r="H122" s="98">
        <f>H121</f>
        <v>0.44999999999999996</v>
      </c>
    </row>
    <row r="123" spans="2:8" s="17" customFormat="1" ht="13.5" thickBot="1">
      <c r="B123" s="334" t="s">
        <v>52</v>
      </c>
      <c r="C123" s="335"/>
      <c r="D123" s="335"/>
      <c r="E123" s="335"/>
      <c r="F123" s="335"/>
      <c r="G123" s="335"/>
      <c r="H123" s="336"/>
    </row>
    <row r="124" spans="2:8">
      <c r="B124" s="37">
        <v>7</v>
      </c>
      <c r="C124" s="23" t="s">
        <v>51</v>
      </c>
      <c r="D124" s="18"/>
      <c r="E124" s="27"/>
      <c r="F124" s="20"/>
      <c r="G124" s="20"/>
      <c r="H124" s="26"/>
    </row>
    <row r="125" spans="2:8" ht="38.25">
      <c r="B125" s="41" t="s">
        <v>21</v>
      </c>
      <c r="C125" s="60" t="s">
        <v>159</v>
      </c>
      <c r="D125" s="59" t="s">
        <v>131</v>
      </c>
      <c r="E125" s="79" t="s">
        <v>89</v>
      </c>
      <c r="F125" s="54" t="s">
        <v>48</v>
      </c>
      <c r="G125" s="54" t="s">
        <v>69</v>
      </c>
      <c r="H125" s="41" t="s">
        <v>11</v>
      </c>
    </row>
    <row r="126" spans="2:8" s="107" customFormat="1">
      <c r="B126" s="54"/>
      <c r="C126" s="60" t="s">
        <v>284</v>
      </c>
      <c r="D126" s="24"/>
      <c r="E126" s="85">
        <f>4.6+2.85+4.6+2.85</f>
        <v>14.899999999999999</v>
      </c>
      <c r="F126" s="43">
        <v>1.8</v>
      </c>
      <c r="G126" s="208"/>
      <c r="H126" s="43">
        <f>F126*E126</f>
        <v>26.819999999999997</v>
      </c>
    </row>
    <row r="127" spans="2:8" s="107" customFormat="1">
      <c r="B127" s="117"/>
      <c r="C127" s="60" t="s">
        <v>285</v>
      </c>
      <c r="D127" s="202"/>
      <c r="E127" s="43">
        <v>0.8</v>
      </c>
      <c r="F127" s="43">
        <v>1.8</v>
      </c>
      <c r="G127" s="43">
        <v>3</v>
      </c>
      <c r="H127" s="43">
        <f>F127*E127*G127</f>
        <v>4.32</v>
      </c>
    </row>
    <row r="128" spans="2:8" s="107" customFormat="1">
      <c r="B128" s="117"/>
      <c r="C128" s="60" t="s">
        <v>286</v>
      </c>
      <c r="D128" s="202"/>
      <c r="E128" s="43">
        <v>2</v>
      </c>
      <c r="F128" s="43">
        <v>0.7</v>
      </c>
      <c r="G128" s="43">
        <v>1</v>
      </c>
      <c r="H128" s="43">
        <f>F128*E128*G128</f>
        <v>1.4</v>
      </c>
    </row>
    <row r="129" spans="2:8" s="107" customFormat="1">
      <c r="B129" s="117"/>
      <c r="C129" s="60" t="s">
        <v>70</v>
      </c>
      <c r="D129" s="202"/>
      <c r="E129" s="43">
        <v>1.6</v>
      </c>
      <c r="F129" s="43">
        <v>0.7</v>
      </c>
      <c r="G129" s="43">
        <v>1</v>
      </c>
      <c r="H129" s="43">
        <f>F129*E129*G129</f>
        <v>1.1199999999999999</v>
      </c>
    </row>
    <row r="130" spans="2:8" ht="15" customHeight="1">
      <c r="B130" s="380" t="s">
        <v>15</v>
      </c>
      <c r="C130" s="405"/>
      <c r="D130" s="405"/>
      <c r="E130" s="405"/>
      <c r="F130" s="405"/>
      <c r="G130" s="406"/>
      <c r="H130" s="43">
        <f>H126-H127-H128-H129</f>
        <v>19.979999999999997</v>
      </c>
    </row>
    <row r="131" spans="2:8" ht="15" customHeight="1">
      <c r="B131" s="54" t="s">
        <v>62</v>
      </c>
      <c r="C131" s="60" t="s">
        <v>155</v>
      </c>
      <c r="D131" s="54" t="s">
        <v>157</v>
      </c>
      <c r="E131" s="433" t="s">
        <v>89</v>
      </c>
      <c r="F131" s="434"/>
      <c r="G131" s="54" t="s">
        <v>69</v>
      </c>
      <c r="H131" s="43" t="s">
        <v>11</v>
      </c>
    </row>
    <row r="132" spans="2:8" ht="15" customHeight="1">
      <c r="B132" s="82"/>
      <c r="C132" s="83" t="s">
        <v>88</v>
      </c>
      <c r="D132" s="84"/>
      <c r="E132" s="330"/>
      <c r="F132" s="331"/>
      <c r="G132" s="208"/>
      <c r="H132" s="208"/>
    </row>
    <row r="133" spans="2:8" ht="15" customHeight="1">
      <c r="B133" s="111"/>
      <c r="C133" s="83" t="s">
        <v>74</v>
      </c>
      <c r="D133" s="84"/>
      <c r="E133" s="330">
        <f>11.6+19.7+11.6+19.7</f>
        <v>62.599999999999994</v>
      </c>
      <c r="F133" s="331"/>
      <c r="G133" s="43"/>
      <c r="H133" s="43">
        <f>E133</f>
        <v>62.599999999999994</v>
      </c>
    </row>
    <row r="134" spans="2:8" ht="15" customHeight="1">
      <c r="B134" s="111"/>
      <c r="C134" s="83" t="s">
        <v>285</v>
      </c>
      <c r="D134" s="84"/>
      <c r="E134" s="330">
        <v>1.05</v>
      </c>
      <c r="F134" s="331"/>
      <c r="G134" s="43">
        <v>2</v>
      </c>
      <c r="H134" s="43">
        <f>E134*G134</f>
        <v>2.1</v>
      </c>
    </row>
    <row r="135" spans="2:8" ht="15" customHeight="1">
      <c r="B135" s="111"/>
      <c r="C135" s="83" t="s">
        <v>290</v>
      </c>
      <c r="D135" s="84"/>
      <c r="E135" s="330">
        <v>1</v>
      </c>
      <c r="F135" s="331"/>
      <c r="G135" s="43">
        <v>1</v>
      </c>
      <c r="H135" s="43">
        <f>E135*G135</f>
        <v>1</v>
      </c>
    </row>
    <row r="136" spans="2:8" ht="15" customHeight="1" thickBot="1">
      <c r="B136" s="332" t="s">
        <v>15</v>
      </c>
      <c r="C136" s="295"/>
      <c r="D136" s="295"/>
      <c r="E136" s="295"/>
      <c r="F136" s="295"/>
      <c r="G136" s="333"/>
      <c r="H136" s="98">
        <f>H133-H134-H135</f>
        <v>59.499999999999993</v>
      </c>
    </row>
    <row r="137" spans="2:8" ht="15" customHeight="1" thickBot="1">
      <c r="B137" s="334" t="s">
        <v>33</v>
      </c>
      <c r="C137" s="335"/>
      <c r="D137" s="335"/>
      <c r="E137" s="335"/>
      <c r="F137" s="335"/>
      <c r="G137" s="335"/>
      <c r="H137" s="336"/>
    </row>
    <row r="138" spans="2:8">
      <c r="B138" s="49">
        <v>8</v>
      </c>
      <c r="C138" s="120" t="s">
        <v>34</v>
      </c>
      <c r="D138" s="10"/>
      <c r="E138" s="11"/>
      <c r="F138" s="11"/>
      <c r="G138" s="11"/>
      <c r="H138" s="25"/>
    </row>
    <row r="139" spans="2:8">
      <c r="B139" s="54" t="s">
        <v>151</v>
      </c>
      <c r="C139" s="60" t="s">
        <v>35</v>
      </c>
      <c r="D139" s="54" t="s">
        <v>9</v>
      </c>
      <c r="E139" s="112" t="s">
        <v>10</v>
      </c>
      <c r="F139" s="54" t="s">
        <v>256</v>
      </c>
      <c r="G139" s="54" t="s">
        <v>69</v>
      </c>
      <c r="H139" s="54" t="s">
        <v>11</v>
      </c>
    </row>
    <row r="140" spans="2:8">
      <c r="B140" s="84" t="s">
        <v>332</v>
      </c>
      <c r="C140" s="24" t="s">
        <v>160</v>
      </c>
      <c r="D140" s="24"/>
      <c r="F140" s="54"/>
      <c r="G140" s="54"/>
      <c r="H140" s="54"/>
    </row>
    <row r="141" spans="2:8">
      <c r="B141" s="54"/>
      <c r="C141" s="24" t="s">
        <v>74</v>
      </c>
      <c r="D141" s="24"/>
      <c r="E141" s="85">
        <f>11.6+19.7+11.6+19.7</f>
        <v>62.599999999999994</v>
      </c>
      <c r="F141" s="67">
        <v>2.8</v>
      </c>
      <c r="G141" s="67"/>
      <c r="H141" s="43">
        <f>E141*F141</f>
        <v>175.27999999999997</v>
      </c>
    </row>
    <row r="142" spans="2:8">
      <c r="B142" s="54"/>
      <c r="C142" s="24" t="s">
        <v>67</v>
      </c>
      <c r="D142" s="24"/>
      <c r="E142" s="85">
        <v>2</v>
      </c>
      <c r="F142" s="43">
        <v>0.9</v>
      </c>
      <c r="G142" s="43">
        <v>17</v>
      </c>
      <c r="H142" s="43">
        <f>E142*F142*G142</f>
        <v>30.6</v>
      </c>
    </row>
    <row r="143" spans="2:8">
      <c r="B143" s="54"/>
      <c r="C143" s="24" t="s">
        <v>68</v>
      </c>
      <c r="D143" s="24"/>
      <c r="E143" s="85">
        <v>1.05</v>
      </c>
      <c r="F143" s="43">
        <v>0.9</v>
      </c>
      <c r="G143" s="43">
        <v>2</v>
      </c>
      <c r="H143" s="43">
        <f>E143*F143*G143</f>
        <v>1.8900000000000001</v>
      </c>
    </row>
    <row r="144" spans="2:8">
      <c r="B144" s="117"/>
      <c r="C144" s="24" t="s">
        <v>68</v>
      </c>
      <c r="D144" s="24"/>
      <c r="E144" s="85">
        <v>1</v>
      </c>
      <c r="F144" s="43">
        <v>0.9</v>
      </c>
      <c r="G144" s="43">
        <v>1</v>
      </c>
      <c r="H144" s="43">
        <f>E144*F144*G144</f>
        <v>0.9</v>
      </c>
    </row>
    <row r="145" spans="2:8">
      <c r="B145" s="380" t="s">
        <v>72</v>
      </c>
      <c r="C145" s="294"/>
      <c r="D145" s="294"/>
      <c r="E145" s="294"/>
      <c r="F145" s="294"/>
      <c r="G145" s="296"/>
      <c r="H145" s="43">
        <f>H141-H142-H143-H144</f>
        <v>141.88999999999999</v>
      </c>
    </row>
    <row r="146" spans="2:8">
      <c r="B146" s="84" t="s">
        <v>333</v>
      </c>
      <c r="C146" s="24" t="s">
        <v>47</v>
      </c>
      <c r="D146" s="24"/>
      <c r="G146" s="43"/>
      <c r="H146" s="54"/>
    </row>
    <row r="147" spans="2:8">
      <c r="B147" s="54"/>
      <c r="C147" s="24" t="s">
        <v>75</v>
      </c>
      <c r="D147" s="24"/>
      <c r="E147" s="85">
        <f>2.85+4.6+2.85+4.6</f>
        <v>14.899999999999999</v>
      </c>
      <c r="F147" s="43">
        <v>1.2</v>
      </c>
      <c r="G147" s="54"/>
      <c r="H147" s="43">
        <f>F147*E147</f>
        <v>17.88</v>
      </c>
    </row>
    <row r="148" spans="2:8">
      <c r="B148" s="54"/>
      <c r="C148" s="24" t="s">
        <v>67</v>
      </c>
      <c r="D148" s="24"/>
      <c r="E148" s="85">
        <v>2</v>
      </c>
      <c r="F148" s="43">
        <v>0.3</v>
      </c>
      <c r="G148" s="43">
        <v>1</v>
      </c>
      <c r="H148" s="43">
        <f>G148*F148*E148</f>
        <v>0.6</v>
      </c>
    </row>
    <row r="149" spans="2:8">
      <c r="B149" s="54"/>
      <c r="C149" s="24" t="s">
        <v>68</v>
      </c>
      <c r="D149" s="24"/>
      <c r="E149" s="85">
        <v>0.8</v>
      </c>
      <c r="F149" s="43">
        <v>0.3</v>
      </c>
      <c r="G149" s="43">
        <v>3</v>
      </c>
      <c r="H149" s="43">
        <f>G149*F149*E149</f>
        <v>0.72</v>
      </c>
    </row>
    <row r="150" spans="2:8">
      <c r="B150" s="86"/>
      <c r="C150" s="87" t="s">
        <v>70</v>
      </c>
      <c r="D150" s="87"/>
      <c r="E150" s="88">
        <v>1.6</v>
      </c>
      <c r="F150" s="89">
        <v>1.2</v>
      </c>
      <c r="G150" s="89">
        <v>1</v>
      </c>
      <c r="H150" s="89">
        <f>G150*F150*E150</f>
        <v>1.92</v>
      </c>
    </row>
    <row r="151" spans="2:8" s="29" customFormat="1">
      <c r="B151" s="380" t="s">
        <v>72</v>
      </c>
      <c r="C151" s="294"/>
      <c r="D151" s="294"/>
      <c r="E151" s="294"/>
      <c r="F151" s="294"/>
      <c r="G151" s="296"/>
      <c r="H151" s="43">
        <f>H147-H148-H149-H150</f>
        <v>14.639999999999999</v>
      </c>
    </row>
    <row r="152" spans="2:8">
      <c r="B152" s="84" t="s">
        <v>334</v>
      </c>
      <c r="C152" s="24" t="s">
        <v>76</v>
      </c>
      <c r="D152" s="24"/>
      <c r="F152" s="54"/>
      <c r="G152" s="54"/>
      <c r="H152" s="54"/>
    </row>
    <row r="153" spans="2:8">
      <c r="B153" s="54"/>
      <c r="C153" s="24" t="s">
        <v>77</v>
      </c>
      <c r="D153" s="24"/>
      <c r="E153" s="85">
        <f>2.9+1.7+2.9+1.7</f>
        <v>9.1999999999999993</v>
      </c>
      <c r="F153" s="67">
        <v>3</v>
      </c>
      <c r="G153" s="67"/>
      <c r="H153" s="43">
        <f>F153*E153</f>
        <v>27.599999999999998</v>
      </c>
    </row>
    <row r="154" spans="2:8">
      <c r="B154" s="54"/>
      <c r="C154" s="24" t="s">
        <v>67</v>
      </c>
      <c r="D154" s="24"/>
      <c r="E154" s="85">
        <v>1.5</v>
      </c>
      <c r="F154" s="43">
        <v>1</v>
      </c>
      <c r="G154" s="43">
        <v>1</v>
      </c>
      <c r="H154" s="43">
        <f>G154*F154*E154</f>
        <v>1.5</v>
      </c>
    </row>
    <row r="155" spans="2:8">
      <c r="B155" s="54"/>
      <c r="C155" s="24" t="s">
        <v>68</v>
      </c>
      <c r="D155" s="24"/>
      <c r="E155" s="85">
        <v>0.8</v>
      </c>
      <c r="F155" s="43">
        <v>2.1</v>
      </c>
      <c r="G155" s="43">
        <v>1</v>
      </c>
      <c r="H155" s="43">
        <f>G155*F155*E155</f>
        <v>1.6800000000000002</v>
      </c>
    </row>
    <row r="156" spans="2:8">
      <c r="B156" s="380" t="s">
        <v>72</v>
      </c>
      <c r="C156" s="294"/>
      <c r="D156" s="294"/>
      <c r="E156" s="294"/>
      <c r="F156" s="294"/>
      <c r="G156" s="296"/>
      <c r="H156" s="43">
        <f>H153-H154-H155</f>
        <v>24.419999999999998</v>
      </c>
    </row>
    <row r="157" spans="2:8">
      <c r="B157" s="84" t="s">
        <v>335</v>
      </c>
      <c r="C157" s="24" t="s">
        <v>78</v>
      </c>
      <c r="D157" s="24"/>
      <c r="F157" s="54"/>
      <c r="G157" s="54"/>
      <c r="H157" s="54"/>
    </row>
    <row r="158" spans="2:8">
      <c r="B158" s="54"/>
      <c r="C158" s="24" t="s">
        <v>79</v>
      </c>
      <c r="D158" s="24"/>
      <c r="E158" s="79">
        <f>1.55+1.7+1.55+1.7</f>
        <v>6.5</v>
      </c>
      <c r="F158" s="67">
        <v>1.2</v>
      </c>
      <c r="G158" s="67"/>
      <c r="H158" s="43">
        <f>E158*F158</f>
        <v>7.8</v>
      </c>
    </row>
    <row r="159" spans="2:8">
      <c r="B159" s="54"/>
      <c r="C159" s="24" t="s">
        <v>67</v>
      </c>
      <c r="D159" s="24"/>
      <c r="E159" s="85">
        <v>1.5</v>
      </c>
      <c r="F159" s="43">
        <v>0.3</v>
      </c>
      <c r="G159" s="43">
        <v>1</v>
      </c>
      <c r="H159" s="43">
        <f>G159*F159*E159</f>
        <v>0.44999999999999996</v>
      </c>
    </row>
    <row r="160" spans="2:8">
      <c r="B160" s="54"/>
      <c r="C160" s="24" t="s">
        <v>68</v>
      </c>
      <c r="D160" s="24"/>
      <c r="E160" s="85">
        <v>0.8</v>
      </c>
      <c r="F160" s="43">
        <v>0.3</v>
      </c>
      <c r="G160" s="43">
        <v>1</v>
      </c>
      <c r="H160" s="43">
        <f>G160*F160*E160</f>
        <v>0.24</v>
      </c>
    </row>
    <row r="161" spans="2:8">
      <c r="B161" s="380" t="s">
        <v>72</v>
      </c>
      <c r="C161" s="294"/>
      <c r="D161" s="294"/>
      <c r="E161" s="294"/>
      <c r="F161" s="294"/>
      <c r="G161" s="296"/>
      <c r="H161" s="43">
        <f>H158-H160</f>
        <v>7.56</v>
      </c>
    </row>
    <row r="162" spans="2:8">
      <c r="B162" s="84" t="s">
        <v>336</v>
      </c>
      <c r="C162" s="24" t="s">
        <v>80</v>
      </c>
      <c r="D162" s="24"/>
      <c r="F162" s="54"/>
      <c r="G162" s="54"/>
      <c r="H162" s="54"/>
    </row>
    <row r="163" spans="2:8" ht="38.25">
      <c r="B163" s="54"/>
      <c r="C163" s="90" t="s">
        <v>82</v>
      </c>
      <c r="D163" s="24"/>
      <c r="E163" s="71">
        <f>2.15+4.7+3.35+1.03+1.03+1.15+0.15+1.15+1.03+1.03+1.3+1.3+1.1+1.1+2.1+2.1+0.15+1.25+3.6</f>
        <v>30.770000000000007</v>
      </c>
      <c r="F163" s="67">
        <v>1.2</v>
      </c>
      <c r="G163" s="67"/>
      <c r="H163" s="43">
        <f>E163*F163</f>
        <v>36.924000000000007</v>
      </c>
    </row>
    <row r="164" spans="2:8">
      <c r="B164" s="54"/>
      <c r="C164" s="24" t="s">
        <v>67</v>
      </c>
      <c r="D164" s="24"/>
      <c r="E164" s="85">
        <v>1.5</v>
      </c>
      <c r="F164" s="43">
        <v>0.3</v>
      </c>
      <c r="G164" s="43">
        <v>1</v>
      </c>
      <c r="H164" s="43">
        <f>G164*F164*E164</f>
        <v>0.44999999999999996</v>
      </c>
    </row>
    <row r="165" spans="2:8">
      <c r="B165" s="117"/>
      <c r="C165" s="178" t="s">
        <v>68</v>
      </c>
      <c r="D165" s="24"/>
      <c r="E165" s="85">
        <v>0.6</v>
      </c>
      <c r="F165" s="43">
        <v>0.3</v>
      </c>
      <c r="G165" s="43">
        <v>2</v>
      </c>
      <c r="H165" s="43">
        <f>G165*F165*E165</f>
        <v>0.36</v>
      </c>
    </row>
    <row r="166" spans="2:8">
      <c r="B166" s="117"/>
      <c r="C166" s="178" t="s">
        <v>68</v>
      </c>
      <c r="D166" s="24"/>
      <c r="E166" s="85">
        <v>0.8</v>
      </c>
      <c r="F166" s="43">
        <v>0.3</v>
      </c>
      <c r="G166" s="43">
        <v>3</v>
      </c>
      <c r="H166" s="43">
        <f>G166*F166*E166</f>
        <v>0.72</v>
      </c>
    </row>
    <row r="167" spans="2:8">
      <c r="B167" s="380" t="s">
        <v>72</v>
      </c>
      <c r="C167" s="294"/>
      <c r="D167" s="294"/>
      <c r="E167" s="294"/>
      <c r="F167" s="294"/>
      <c r="G167" s="296"/>
      <c r="H167" s="43">
        <f>H163-H164-H165-H166</f>
        <v>35.394000000000005</v>
      </c>
    </row>
    <row r="168" spans="2:8">
      <c r="B168" s="84" t="s">
        <v>337</v>
      </c>
      <c r="C168" s="24" t="s">
        <v>81</v>
      </c>
      <c r="D168" s="24"/>
      <c r="F168" s="54"/>
      <c r="G168" s="54"/>
      <c r="H168" s="54"/>
    </row>
    <row r="169" spans="2:8" ht="38.25">
      <c r="B169" s="54"/>
      <c r="C169" s="90" t="s">
        <v>83</v>
      </c>
      <c r="D169" s="24"/>
      <c r="E169" s="71">
        <f>1.25+2.1+0.15+2.1+1.1+1.1+1.3+1.3+1.03+1.03+1.15+1.15+0.15+3.35+4.7+4.7+2.15+0.15</f>
        <v>29.959999999999997</v>
      </c>
      <c r="F169" s="67">
        <v>1.2</v>
      </c>
      <c r="G169" s="67"/>
      <c r="H169" s="43">
        <f>E169*F169</f>
        <v>35.951999999999998</v>
      </c>
    </row>
    <row r="170" spans="2:8">
      <c r="B170" s="54"/>
      <c r="C170" s="24" t="s">
        <v>67</v>
      </c>
      <c r="D170" s="24"/>
      <c r="E170" s="85">
        <v>1.5</v>
      </c>
      <c r="F170" s="43">
        <v>0.3</v>
      </c>
      <c r="G170" s="43">
        <v>1</v>
      </c>
      <c r="H170" s="43">
        <f>G170*F170*E170</f>
        <v>0.44999999999999996</v>
      </c>
    </row>
    <row r="171" spans="2:8">
      <c r="B171" s="117"/>
      <c r="C171" s="178" t="s">
        <v>68</v>
      </c>
      <c r="D171" s="24"/>
      <c r="E171" s="85">
        <v>0.8</v>
      </c>
      <c r="F171" s="43">
        <v>0.3</v>
      </c>
      <c r="G171" s="43">
        <v>1</v>
      </c>
      <c r="H171" s="43">
        <f>G171*F171*E171</f>
        <v>0.24</v>
      </c>
    </row>
    <row r="172" spans="2:8">
      <c r="B172" s="117"/>
      <c r="C172" s="178" t="s">
        <v>68</v>
      </c>
      <c r="D172" s="24"/>
      <c r="E172" s="85">
        <v>0.6</v>
      </c>
      <c r="F172" s="43">
        <v>0.3</v>
      </c>
      <c r="G172" s="43">
        <v>1</v>
      </c>
      <c r="H172" s="43">
        <f>G172*F172*E172</f>
        <v>0.18</v>
      </c>
    </row>
    <row r="173" spans="2:8">
      <c r="B173" s="380" t="s">
        <v>72</v>
      </c>
      <c r="C173" s="294"/>
      <c r="D173" s="294"/>
      <c r="E173" s="294"/>
      <c r="F173" s="294"/>
      <c r="G173" s="296"/>
      <c r="H173" s="43">
        <f>H169-H170-H171-H172</f>
        <v>35.081999999999994</v>
      </c>
    </row>
    <row r="174" spans="2:8">
      <c r="B174" s="84" t="s">
        <v>338</v>
      </c>
      <c r="C174" s="24" t="s">
        <v>71</v>
      </c>
      <c r="D174" s="24"/>
      <c r="F174" s="54"/>
      <c r="G174" s="54"/>
      <c r="H174" s="54"/>
    </row>
    <row r="175" spans="2:8">
      <c r="B175" s="54"/>
      <c r="C175" s="24" t="s">
        <v>84</v>
      </c>
      <c r="D175" s="24"/>
      <c r="E175" s="85">
        <f>11.9+24.85+11.9+24.85</f>
        <v>73.5</v>
      </c>
      <c r="F175" s="67">
        <v>4.45</v>
      </c>
      <c r="G175" s="67"/>
      <c r="H175" s="43">
        <f>E175*F175</f>
        <v>327.07499999999999</v>
      </c>
    </row>
    <row r="176" spans="2:8">
      <c r="B176" s="54"/>
      <c r="C176" s="63" t="s">
        <v>73</v>
      </c>
      <c r="D176" s="24"/>
      <c r="E176" s="85">
        <v>11.9</v>
      </c>
      <c r="F176" s="67">
        <v>2</v>
      </c>
      <c r="G176" s="67"/>
      <c r="H176" s="43">
        <f>E176*F176/2</f>
        <v>11.9</v>
      </c>
    </row>
    <row r="177" spans="2:8">
      <c r="B177" s="54"/>
      <c r="C177" s="164" t="s">
        <v>67</v>
      </c>
      <c r="D177" s="24"/>
      <c r="E177" s="85">
        <v>2</v>
      </c>
      <c r="F177" s="43">
        <v>1</v>
      </c>
      <c r="G177" s="43">
        <v>18</v>
      </c>
      <c r="H177" s="43">
        <f>G177*F177*E177</f>
        <v>36</v>
      </c>
    </row>
    <row r="178" spans="2:8">
      <c r="B178" s="54"/>
      <c r="C178" s="164" t="s">
        <v>67</v>
      </c>
      <c r="D178" s="24"/>
      <c r="E178" s="85">
        <v>1.5</v>
      </c>
      <c r="F178" s="43">
        <v>1</v>
      </c>
      <c r="G178" s="43">
        <v>4</v>
      </c>
      <c r="H178" s="43">
        <f t="shared" ref="H178:H180" si="0">G178*F178*E178</f>
        <v>6</v>
      </c>
    </row>
    <row r="179" spans="2:8">
      <c r="B179" s="54"/>
      <c r="C179" s="164" t="s">
        <v>68</v>
      </c>
      <c r="D179" s="24"/>
      <c r="E179" s="85">
        <v>1</v>
      </c>
      <c r="F179" s="43">
        <v>2.1</v>
      </c>
      <c r="G179" s="43">
        <v>1</v>
      </c>
      <c r="H179" s="43">
        <f t="shared" si="0"/>
        <v>2.1</v>
      </c>
    </row>
    <row r="180" spans="2:8">
      <c r="B180" s="54"/>
      <c r="C180" s="164" t="s">
        <v>68</v>
      </c>
      <c r="D180" s="24"/>
      <c r="E180" s="85">
        <v>1.05</v>
      </c>
      <c r="F180" s="43">
        <v>2.1</v>
      </c>
      <c r="G180" s="43">
        <v>2</v>
      </c>
      <c r="H180" s="43">
        <f t="shared" si="0"/>
        <v>4.41</v>
      </c>
    </row>
    <row r="181" spans="2:8">
      <c r="B181" s="380" t="s">
        <v>72</v>
      </c>
      <c r="C181" s="294"/>
      <c r="D181" s="294"/>
      <c r="E181" s="294"/>
      <c r="F181" s="294"/>
      <c r="G181" s="296"/>
      <c r="H181" s="43">
        <f>H175+H176-H177-H178-H179-H180</f>
        <v>290.46499999999992</v>
      </c>
    </row>
    <row r="182" spans="2:8">
      <c r="B182" s="84" t="s">
        <v>339</v>
      </c>
      <c r="C182" s="83" t="s">
        <v>293</v>
      </c>
      <c r="D182" s="54"/>
      <c r="E182" s="54"/>
      <c r="F182" s="54"/>
      <c r="G182" s="54"/>
      <c r="H182" s="43"/>
    </row>
    <row r="183" spans="2:8">
      <c r="B183" s="82"/>
      <c r="C183" s="83" t="s">
        <v>294</v>
      </c>
      <c r="D183" s="54"/>
      <c r="E183" s="43">
        <v>4</v>
      </c>
      <c r="F183" s="43">
        <v>2.1</v>
      </c>
      <c r="G183" s="54"/>
      <c r="H183" s="43">
        <f>F183*E183</f>
        <v>8.4</v>
      </c>
    </row>
    <row r="184" spans="2:8">
      <c r="B184" s="82"/>
      <c r="C184" s="83" t="s">
        <v>295</v>
      </c>
      <c r="D184" s="54"/>
      <c r="E184" s="43">
        <v>4</v>
      </c>
      <c r="F184" s="43">
        <v>2.5</v>
      </c>
      <c r="G184" s="54"/>
      <c r="H184" s="43">
        <f>F184*E184</f>
        <v>10</v>
      </c>
    </row>
    <row r="185" spans="2:8">
      <c r="B185" s="380" t="s">
        <v>72</v>
      </c>
      <c r="C185" s="294"/>
      <c r="D185" s="294"/>
      <c r="E185" s="294"/>
      <c r="F185" s="294"/>
      <c r="G185" s="296"/>
      <c r="H185" s="43">
        <f>H183+H184</f>
        <v>18.399999999999999</v>
      </c>
    </row>
    <row r="186" spans="2:8">
      <c r="B186" s="377" t="s">
        <v>15</v>
      </c>
      <c r="C186" s="378"/>
      <c r="D186" s="378"/>
      <c r="E186" s="378"/>
      <c r="F186" s="378"/>
      <c r="G186" s="379"/>
      <c r="H186" s="64">
        <f>H181+H173+H167+H161+H151+H145+H156+H185</f>
        <v>567.85099999999989</v>
      </c>
    </row>
    <row r="187" spans="2:8">
      <c r="B187" s="54" t="s">
        <v>152</v>
      </c>
      <c r="C187" s="60" t="s">
        <v>171</v>
      </c>
      <c r="D187" s="84"/>
      <c r="E187" s="182" t="s">
        <v>10</v>
      </c>
      <c r="F187" s="54" t="s">
        <v>256</v>
      </c>
      <c r="G187" s="54" t="s">
        <v>69</v>
      </c>
      <c r="H187" s="43"/>
    </row>
    <row r="188" spans="2:8">
      <c r="B188" s="84" t="s">
        <v>245</v>
      </c>
      <c r="C188" s="24" t="s">
        <v>160</v>
      </c>
      <c r="D188" s="24"/>
      <c r="F188" s="54"/>
      <c r="G188" s="54"/>
      <c r="H188" s="54"/>
    </row>
    <row r="189" spans="2:8">
      <c r="B189" s="54"/>
      <c r="C189" s="24" t="s">
        <v>74</v>
      </c>
      <c r="D189" s="24"/>
      <c r="E189" s="85">
        <f>11.6+19.7+11.6+19.7</f>
        <v>62.599999999999994</v>
      </c>
      <c r="F189" s="67">
        <v>1.2</v>
      </c>
      <c r="G189" s="67"/>
      <c r="H189" s="43">
        <f>E189*F189</f>
        <v>75.11999999999999</v>
      </c>
    </row>
    <row r="190" spans="2:8">
      <c r="B190" s="54"/>
      <c r="C190" s="24" t="s">
        <v>67</v>
      </c>
      <c r="D190" s="24"/>
      <c r="E190" s="85">
        <v>2</v>
      </c>
      <c r="F190" s="43">
        <v>0.1</v>
      </c>
      <c r="G190" s="43">
        <v>17</v>
      </c>
      <c r="H190" s="43">
        <f>E190*F190*G190</f>
        <v>3.4000000000000004</v>
      </c>
    </row>
    <row r="191" spans="2:8">
      <c r="B191" s="54"/>
      <c r="C191" s="24" t="s">
        <v>68</v>
      </c>
      <c r="D191" s="24"/>
      <c r="E191" s="85">
        <v>1.05</v>
      </c>
      <c r="F191" s="43">
        <v>1.2</v>
      </c>
      <c r="G191" s="43">
        <v>2</v>
      </c>
      <c r="H191" s="43">
        <f>E191*F191*G191</f>
        <v>2.52</v>
      </c>
    </row>
    <row r="192" spans="2:8">
      <c r="B192" s="183"/>
      <c r="C192" s="24" t="s">
        <v>68</v>
      </c>
      <c r="D192" s="24"/>
      <c r="E192" s="85">
        <v>1</v>
      </c>
      <c r="F192" s="43">
        <v>1.2</v>
      </c>
      <c r="G192" s="43">
        <v>1</v>
      </c>
      <c r="H192" s="43">
        <f>E192*F192*G192</f>
        <v>1.2</v>
      </c>
    </row>
    <row r="193" spans="2:8">
      <c r="B193" s="377" t="s">
        <v>15</v>
      </c>
      <c r="C193" s="378"/>
      <c r="D193" s="378"/>
      <c r="E193" s="378"/>
      <c r="F193" s="378"/>
      <c r="G193" s="379"/>
      <c r="H193" s="43">
        <f>H189-H190-H191-H192</f>
        <v>67.999999999999986</v>
      </c>
    </row>
    <row r="194" spans="2:8">
      <c r="B194" s="54" t="s">
        <v>173</v>
      </c>
      <c r="C194" s="70" t="s">
        <v>133</v>
      </c>
      <c r="D194" s="54" t="s">
        <v>9</v>
      </c>
      <c r="E194" s="43" t="s">
        <v>10</v>
      </c>
      <c r="F194" s="54" t="s">
        <v>48</v>
      </c>
      <c r="G194" s="100" t="s">
        <v>69</v>
      </c>
      <c r="H194" s="101" t="s">
        <v>11</v>
      </c>
    </row>
    <row r="195" spans="2:8">
      <c r="B195" s="84" t="s">
        <v>388</v>
      </c>
      <c r="C195" s="24" t="s">
        <v>88</v>
      </c>
      <c r="D195" s="54"/>
      <c r="E195" s="71"/>
      <c r="F195" s="41"/>
      <c r="G195" s="102"/>
      <c r="H195" s="101"/>
    </row>
    <row r="196" spans="2:8">
      <c r="B196" s="84"/>
      <c r="C196" s="24" t="s">
        <v>134</v>
      </c>
      <c r="D196" s="54"/>
      <c r="E196" s="43">
        <f>2*2</f>
        <v>4</v>
      </c>
      <c r="F196" s="43">
        <v>1</v>
      </c>
      <c r="G196" s="102">
        <v>17</v>
      </c>
      <c r="H196" s="103">
        <f>E196*F196*G196</f>
        <v>68</v>
      </c>
    </row>
    <row r="197" spans="2:8">
      <c r="B197" s="84"/>
      <c r="C197" s="24" t="s">
        <v>141</v>
      </c>
      <c r="D197" s="54"/>
      <c r="E197" s="43">
        <v>2.1</v>
      </c>
      <c r="F197" s="43">
        <v>2.1</v>
      </c>
      <c r="G197" s="100">
        <v>2</v>
      </c>
      <c r="H197" s="103">
        <f t="shared" ref="H197:H212" si="1">E197*F197*G197</f>
        <v>8.82</v>
      </c>
    </row>
    <row r="198" spans="2:8">
      <c r="B198" s="84"/>
      <c r="C198" s="24" t="s">
        <v>142</v>
      </c>
      <c r="D198" s="54"/>
      <c r="E198" s="43">
        <f>2.1+2.1+2.1</f>
        <v>6.3000000000000007</v>
      </c>
      <c r="F198" s="43">
        <v>0.17</v>
      </c>
      <c r="G198" s="100">
        <v>1</v>
      </c>
      <c r="H198" s="103">
        <f t="shared" si="1"/>
        <v>1.0710000000000002</v>
      </c>
    </row>
    <row r="199" spans="2:8">
      <c r="B199" s="84"/>
      <c r="C199" s="24" t="s">
        <v>135</v>
      </c>
      <c r="D199" s="54"/>
      <c r="E199" s="43">
        <f>2*1</f>
        <v>2</v>
      </c>
      <c r="F199" s="43">
        <v>2.1</v>
      </c>
      <c r="G199" s="100">
        <v>1</v>
      </c>
      <c r="H199" s="103">
        <f t="shared" si="1"/>
        <v>4.2</v>
      </c>
    </row>
    <row r="200" spans="2:8">
      <c r="B200" s="84"/>
      <c r="C200" s="24" t="s">
        <v>136</v>
      </c>
      <c r="D200" s="54"/>
      <c r="E200" s="43">
        <f>2.1+1+2.1</f>
        <v>5.2</v>
      </c>
      <c r="F200" s="43">
        <v>0.17</v>
      </c>
      <c r="G200" s="100">
        <v>1</v>
      </c>
      <c r="H200" s="103">
        <f t="shared" si="1"/>
        <v>0.88400000000000012</v>
      </c>
    </row>
    <row r="201" spans="2:8">
      <c r="B201" s="84" t="s">
        <v>389</v>
      </c>
      <c r="C201" s="87" t="s">
        <v>47</v>
      </c>
      <c r="D201" s="104"/>
      <c r="E201" s="89"/>
      <c r="F201" s="89"/>
      <c r="G201" s="105"/>
      <c r="H201" s="106"/>
    </row>
    <row r="202" spans="2:8">
      <c r="B202" s="82"/>
      <c r="C202" s="87" t="s">
        <v>139</v>
      </c>
      <c r="D202" s="104"/>
      <c r="E202" s="89">
        <f>2*1</f>
        <v>2</v>
      </c>
      <c r="F202" s="89">
        <v>1</v>
      </c>
      <c r="G202" s="105">
        <v>1</v>
      </c>
      <c r="H202" s="106">
        <f>E202*F202*G202</f>
        <v>2</v>
      </c>
    </row>
    <row r="203" spans="2:8">
      <c r="B203" s="82"/>
      <c r="C203" s="87" t="s">
        <v>137</v>
      </c>
      <c r="D203" s="104"/>
      <c r="E203" s="89">
        <f>2*0.8</f>
        <v>1.6</v>
      </c>
      <c r="F203" s="89">
        <v>2.1</v>
      </c>
      <c r="G203" s="105">
        <v>1</v>
      </c>
      <c r="H203" s="106">
        <f>E203*F203*G203</f>
        <v>3.3600000000000003</v>
      </c>
    </row>
    <row r="204" spans="2:8">
      <c r="B204" s="82"/>
      <c r="C204" s="87" t="s">
        <v>138</v>
      </c>
      <c r="D204" s="104"/>
      <c r="E204" s="89">
        <f>2.1+0.8+2.1</f>
        <v>5</v>
      </c>
      <c r="F204" s="89">
        <v>0.17</v>
      </c>
      <c r="G204" s="105">
        <v>1</v>
      </c>
      <c r="H204" s="106">
        <f>E204*F204*G204</f>
        <v>0.85000000000000009</v>
      </c>
    </row>
    <row r="205" spans="2:8">
      <c r="B205" s="84" t="s">
        <v>390</v>
      </c>
      <c r="C205" s="87" t="s">
        <v>78</v>
      </c>
      <c r="D205" s="104"/>
      <c r="E205" s="89"/>
      <c r="F205" s="89"/>
      <c r="G205" s="105"/>
      <c r="H205" s="106"/>
    </row>
    <row r="206" spans="2:8">
      <c r="B206" s="84"/>
      <c r="C206" s="87" t="s">
        <v>143</v>
      </c>
      <c r="D206" s="104"/>
      <c r="E206" s="89">
        <f>2*1.5</f>
        <v>3</v>
      </c>
      <c r="F206" s="89">
        <v>1</v>
      </c>
      <c r="G206" s="105">
        <v>1</v>
      </c>
      <c r="H206" s="106">
        <f t="shared" si="1"/>
        <v>3</v>
      </c>
    </row>
    <row r="207" spans="2:8">
      <c r="B207" s="84"/>
      <c r="C207" s="87" t="s">
        <v>137</v>
      </c>
      <c r="D207" s="104"/>
      <c r="E207" s="89">
        <f>2*0.8</f>
        <v>1.6</v>
      </c>
      <c r="F207" s="89">
        <v>2.1</v>
      </c>
      <c r="G207" s="105">
        <v>1</v>
      </c>
      <c r="H207" s="106">
        <f>E207*F207*G207</f>
        <v>3.3600000000000003</v>
      </c>
    </row>
    <row r="208" spans="2:8">
      <c r="B208" s="84"/>
      <c r="C208" s="87" t="s">
        <v>138</v>
      </c>
      <c r="D208" s="104"/>
      <c r="E208" s="89">
        <f>2.1+0.8+2.1</f>
        <v>5</v>
      </c>
      <c r="F208" s="89">
        <v>0.17</v>
      </c>
      <c r="G208" s="105">
        <v>1</v>
      </c>
      <c r="H208" s="106">
        <f>E208*F208*G208</f>
        <v>0.85000000000000009</v>
      </c>
    </row>
    <row r="209" spans="2:8">
      <c r="B209" s="84" t="s">
        <v>391</v>
      </c>
      <c r="C209" s="87" t="s">
        <v>76</v>
      </c>
      <c r="D209" s="104"/>
      <c r="E209" s="89"/>
      <c r="F209" s="89"/>
      <c r="G209" s="105"/>
      <c r="H209" s="106"/>
    </row>
    <row r="210" spans="2:8">
      <c r="B210" s="82"/>
      <c r="C210" s="87" t="s">
        <v>144</v>
      </c>
      <c r="D210" s="104"/>
      <c r="E210" s="89">
        <f>2*1.5</f>
        <v>3</v>
      </c>
      <c r="F210" s="89">
        <v>1</v>
      </c>
      <c r="G210" s="105">
        <v>1</v>
      </c>
      <c r="H210" s="106">
        <f t="shared" si="1"/>
        <v>3</v>
      </c>
    </row>
    <row r="211" spans="2:8">
      <c r="B211" s="82"/>
      <c r="C211" s="87" t="s">
        <v>137</v>
      </c>
      <c r="D211" s="104"/>
      <c r="E211" s="89">
        <f>2*0.8</f>
        <v>1.6</v>
      </c>
      <c r="F211" s="89">
        <v>2.1</v>
      </c>
      <c r="G211" s="105">
        <v>1</v>
      </c>
      <c r="H211" s="106">
        <f t="shared" si="1"/>
        <v>3.3600000000000003</v>
      </c>
    </row>
    <row r="212" spans="2:8">
      <c r="B212" s="82"/>
      <c r="C212" s="87" t="s">
        <v>138</v>
      </c>
      <c r="D212" s="104"/>
      <c r="E212" s="89">
        <f>2.1+0.8+2.1</f>
        <v>5</v>
      </c>
      <c r="F212" s="89">
        <v>0.17</v>
      </c>
      <c r="G212" s="105">
        <v>1</v>
      </c>
      <c r="H212" s="106">
        <f t="shared" si="1"/>
        <v>0.85000000000000009</v>
      </c>
    </row>
    <row r="213" spans="2:8">
      <c r="B213" s="84" t="s">
        <v>392</v>
      </c>
      <c r="C213" s="87" t="s">
        <v>115</v>
      </c>
      <c r="D213" s="104"/>
      <c r="E213" s="89"/>
      <c r="F213" s="89"/>
      <c r="G213" s="105"/>
      <c r="H213" s="106"/>
    </row>
    <row r="214" spans="2:8">
      <c r="B214" s="84"/>
      <c r="C214" s="87" t="s">
        <v>143</v>
      </c>
      <c r="D214" s="104"/>
      <c r="E214" s="89">
        <f>2*1.5</f>
        <v>3</v>
      </c>
      <c r="F214" s="89">
        <v>1</v>
      </c>
      <c r="G214" s="105">
        <v>1</v>
      </c>
      <c r="H214" s="106">
        <f>E214*F214*G214</f>
        <v>3</v>
      </c>
    </row>
    <row r="215" spans="2:8">
      <c r="B215" s="84"/>
      <c r="C215" s="87" t="s">
        <v>137</v>
      </c>
      <c r="D215" s="104"/>
      <c r="E215" s="89">
        <f>2*0.8</f>
        <v>1.6</v>
      </c>
      <c r="F215" s="89">
        <v>2.1</v>
      </c>
      <c r="G215" s="105">
        <v>1</v>
      </c>
      <c r="H215" s="106">
        <f>E215*F215*G215</f>
        <v>3.3600000000000003</v>
      </c>
    </row>
    <row r="216" spans="2:8">
      <c r="B216" s="84"/>
      <c r="C216" s="87" t="s">
        <v>138</v>
      </c>
      <c r="D216" s="104"/>
      <c r="E216" s="89">
        <f>2.1+0.8+2.1</f>
        <v>5</v>
      </c>
      <c r="F216" s="89">
        <v>0.17</v>
      </c>
      <c r="G216" s="105">
        <v>1</v>
      </c>
      <c r="H216" s="106">
        <f>E216*F216*G216</f>
        <v>0.85000000000000009</v>
      </c>
    </row>
    <row r="217" spans="2:8">
      <c r="B217" s="84"/>
      <c r="C217" s="87" t="s">
        <v>145</v>
      </c>
      <c r="D217" s="104"/>
      <c r="E217" s="89">
        <f>2*0.6</f>
        <v>1.2</v>
      </c>
      <c r="F217" s="89">
        <v>2.1</v>
      </c>
      <c r="G217" s="105">
        <v>1</v>
      </c>
      <c r="H217" s="106">
        <f>E217*F217*G217</f>
        <v>2.52</v>
      </c>
    </row>
    <row r="218" spans="2:8">
      <c r="B218" s="84"/>
      <c r="C218" s="87" t="s">
        <v>146</v>
      </c>
      <c r="D218" s="104"/>
      <c r="E218" s="89">
        <f>2.1+0.6+2.1</f>
        <v>4.8000000000000007</v>
      </c>
      <c r="F218" s="89">
        <v>0.17</v>
      </c>
      <c r="G218" s="105">
        <v>1</v>
      </c>
      <c r="H218" s="106">
        <f>E218*F218*G218</f>
        <v>0.81600000000000017</v>
      </c>
    </row>
    <row r="219" spans="2:8">
      <c r="B219" s="84" t="s">
        <v>393</v>
      </c>
      <c r="C219" s="87" t="s">
        <v>91</v>
      </c>
      <c r="D219" s="104"/>
      <c r="E219" s="89"/>
      <c r="F219" s="89"/>
      <c r="G219" s="105"/>
      <c r="H219" s="106"/>
    </row>
    <row r="220" spans="2:8">
      <c r="B220" s="84"/>
      <c r="C220" s="87" t="s">
        <v>143</v>
      </c>
      <c r="D220" s="104"/>
      <c r="E220" s="89">
        <f>2*1.5</f>
        <v>3</v>
      </c>
      <c r="F220" s="89">
        <v>1</v>
      </c>
      <c r="G220" s="105">
        <v>1</v>
      </c>
      <c r="H220" s="106">
        <f>E220*F220*G220</f>
        <v>3</v>
      </c>
    </row>
    <row r="221" spans="2:8">
      <c r="B221" s="84"/>
      <c r="C221" s="87" t="s">
        <v>137</v>
      </c>
      <c r="D221" s="104"/>
      <c r="E221" s="89">
        <f>2*0.8</f>
        <v>1.6</v>
      </c>
      <c r="F221" s="89">
        <v>2.1</v>
      </c>
      <c r="G221" s="105">
        <v>1</v>
      </c>
      <c r="H221" s="106">
        <f>E221*F221*G221</f>
        <v>3.3600000000000003</v>
      </c>
    </row>
    <row r="222" spans="2:8">
      <c r="B222" s="84"/>
      <c r="C222" s="87" t="s">
        <v>138</v>
      </c>
      <c r="D222" s="104"/>
      <c r="E222" s="89">
        <f>2.1+0.8+2.1</f>
        <v>5</v>
      </c>
      <c r="F222" s="89">
        <v>0.17</v>
      </c>
      <c r="G222" s="105">
        <v>1</v>
      </c>
      <c r="H222" s="106">
        <f>E222*F222*G222</f>
        <v>0.85000000000000009</v>
      </c>
    </row>
    <row r="223" spans="2:8">
      <c r="B223" s="84"/>
      <c r="C223" s="87" t="s">
        <v>145</v>
      </c>
      <c r="D223" s="104"/>
      <c r="E223" s="89">
        <f>2*0.6</f>
        <v>1.2</v>
      </c>
      <c r="F223" s="89">
        <v>2.1</v>
      </c>
      <c r="G223" s="105">
        <v>2</v>
      </c>
      <c r="H223" s="106">
        <f>E223*F223*G223</f>
        <v>5.04</v>
      </c>
    </row>
    <row r="224" spans="2:8">
      <c r="B224" s="84"/>
      <c r="C224" s="87" t="s">
        <v>146</v>
      </c>
      <c r="D224" s="104"/>
      <c r="E224" s="89">
        <f>2.1+0.6+2.1</f>
        <v>4.8000000000000007</v>
      </c>
      <c r="F224" s="89">
        <v>0.17</v>
      </c>
      <c r="G224" s="105">
        <v>2</v>
      </c>
      <c r="H224" s="106">
        <f>E224*F224*G224</f>
        <v>1.6320000000000003</v>
      </c>
    </row>
    <row r="225" spans="2:11" ht="13.5" thickBot="1">
      <c r="B225" s="377" t="s">
        <v>15</v>
      </c>
      <c r="C225" s="378"/>
      <c r="D225" s="378"/>
      <c r="E225" s="378"/>
      <c r="F225" s="378"/>
      <c r="G225" s="379"/>
      <c r="H225" s="64">
        <f>SUM(H220:H224,H214:H218,H210:H212,H206:H208,H202:H204,H196:H200)</f>
        <v>128.03299999999999</v>
      </c>
    </row>
    <row r="226" spans="2:11" ht="13.5" thickBot="1">
      <c r="B226" s="334" t="s">
        <v>37</v>
      </c>
      <c r="C226" s="335"/>
      <c r="D226" s="335"/>
      <c r="E226" s="335"/>
      <c r="F226" s="335"/>
      <c r="G226" s="335"/>
      <c r="H226" s="336"/>
    </row>
    <row r="227" spans="2:11" ht="15.75" customHeight="1">
      <c r="B227" s="49">
        <v>9</v>
      </c>
      <c r="C227" s="337" t="s">
        <v>38</v>
      </c>
      <c r="D227" s="338"/>
      <c r="E227" s="338"/>
      <c r="F227" s="338"/>
      <c r="G227" s="338"/>
      <c r="H227" s="339"/>
      <c r="I227"/>
      <c r="J227"/>
      <c r="K227"/>
    </row>
    <row r="228" spans="2:11" ht="15">
      <c r="B228" s="7" t="s">
        <v>56</v>
      </c>
      <c r="C228" s="24" t="s">
        <v>49</v>
      </c>
      <c r="D228" s="4" t="s">
        <v>9</v>
      </c>
      <c r="E228" s="282">
        <v>290</v>
      </c>
      <c r="F228" s="340"/>
      <c r="G228" s="340"/>
      <c r="H228" s="341"/>
      <c r="I228"/>
      <c r="J228"/>
      <c r="K228"/>
    </row>
    <row r="229" spans="2:11" ht="15">
      <c r="B229" s="7" t="s">
        <v>57</v>
      </c>
      <c r="C229" s="24" t="s">
        <v>148</v>
      </c>
      <c r="D229" s="4" t="s">
        <v>9</v>
      </c>
      <c r="E229" s="175" t="s">
        <v>10</v>
      </c>
      <c r="F229" s="282" t="s">
        <v>150</v>
      </c>
      <c r="G229" s="283"/>
      <c r="H229" s="175" t="s">
        <v>11</v>
      </c>
      <c r="I229"/>
      <c r="J229"/>
    </row>
    <row r="230" spans="2:11" ht="15">
      <c r="B230" s="267" t="s">
        <v>340</v>
      </c>
      <c r="C230" s="24" t="s">
        <v>88</v>
      </c>
      <c r="D230" s="9"/>
      <c r="E230" s="175"/>
      <c r="F230" s="282"/>
      <c r="G230" s="283"/>
      <c r="H230" s="175"/>
      <c r="I230"/>
      <c r="J230"/>
    </row>
    <row r="231" spans="2:11" ht="15">
      <c r="B231" s="267"/>
      <c r="C231" s="63" t="s">
        <v>149</v>
      </c>
      <c r="D231" s="9"/>
      <c r="E231" s="175">
        <v>19.7</v>
      </c>
      <c r="F231" s="282">
        <v>11.6</v>
      </c>
      <c r="G231" s="283"/>
      <c r="H231" s="175">
        <f>E231*F231</f>
        <v>228.51999999999998</v>
      </c>
      <c r="I231"/>
      <c r="J231"/>
    </row>
    <row r="232" spans="2:11" ht="15">
      <c r="B232" s="267" t="s">
        <v>341</v>
      </c>
      <c r="C232" s="24" t="s">
        <v>47</v>
      </c>
      <c r="D232" s="9"/>
      <c r="E232" s="175"/>
      <c r="F232" s="282"/>
      <c r="G232" s="283"/>
      <c r="H232" s="175"/>
      <c r="I232"/>
      <c r="J232"/>
    </row>
    <row r="233" spans="2:11" ht="15">
      <c r="B233" s="267"/>
      <c r="C233" s="63" t="s">
        <v>149</v>
      </c>
      <c r="D233" s="9"/>
      <c r="E233" s="175">
        <v>4.5999999999999996</v>
      </c>
      <c r="F233" s="282">
        <v>2.85</v>
      </c>
      <c r="G233" s="283"/>
      <c r="H233" s="175">
        <f t="shared" ref="H233:H241" si="2">E233*F233</f>
        <v>13.11</v>
      </c>
      <c r="I233"/>
      <c r="J233"/>
    </row>
    <row r="234" spans="2:11" ht="15">
      <c r="B234" s="267" t="s">
        <v>342</v>
      </c>
      <c r="C234" s="24" t="s">
        <v>76</v>
      </c>
      <c r="D234" s="9"/>
      <c r="E234" s="175"/>
      <c r="F234" s="282"/>
      <c r="G234" s="283"/>
      <c r="H234" s="175"/>
      <c r="I234"/>
      <c r="J234"/>
    </row>
    <row r="235" spans="2:11" ht="15">
      <c r="B235" s="267"/>
      <c r="C235" s="63" t="s">
        <v>149</v>
      </c>
      <c r="D235" s="9"/>
      <c r="E235" s="175">
        <v>2.9</v>
      </c>
      <c r="F235" s="282">
        <v>1.7</v>
      </c>
      <c r="G235" s="283"/>
      <c r="H235" s="175">
        <f t="shared" si="2"/>
        <v>4.93</v>
      </c>
      <c r="I235"/>
      <c r="J235"/>
    </row>
    <row r="236" spans="2:11" ht="15">
      <c r="B236" s="267" t="s">
        <v>343</v>
      </c>
      <c r="C236" s="24" t="s">
        <v>78</v>
      </c>
      <c r="D236" s="9"/>
      <c r="E236" s="175"/>
      <c r="F236" s="282"/>
      <c r="G236" s="283"/>
      <c r="H236" s="175"/>
      <c r="I236"/>
      <c r="J236"/>
    </row>
    <row r="237" spans="2:11" ht="15">
      <c r="B237" s="267"/>
      <c r="C237" s="63" t="s">
        <v>149</v>
      </c>
      <c r="D237" s="9"/>
      <c r="E237" s="175">
        <v>1.7</v>
      </c>
      <c r="F237" s="282">
        <v>1.55</v>
      </c>
      <c r="G237" s="283"/>
      <c r="H237" s="175">
        <f t="shared" si="2"/>
        <v>2.6349999999999998</v>
      </c>
      <c r="I237"/>
      <c r="J237"/>
    </row>
    <row r="238" spans="2:11" ht="15">
      <c r="B238" s="267" t="s">
        <v>344</v>
      </c>
      <c r="C238" s="24" t="s">
        <v>80</v>
      </c>
      <c r="D238" s="9"/>
      <c r="E238" s="175"/>
      <c r="F238" s="282"/>
      <c r="G238" s="283"/>
      <c r="H238" s="175"/>
      <c r="I238"/>
      <c r="J238"/>
    </row>
    <row r="239" spans="2:11" ht="15">
      <c r="B239" s="267"/>
      <c r="C239" s="63" t="s">
        <v>149</v>
      </c>
      <c r="D239" s="9"/>
      <c r="E239" s="175">
        <v>4.7</v>
      </c>
      <c r="F239" s="282">
        <v>3.35</v>
      </c>
      <c r="G239" s="283"/>
      <c r="H239" s="175">
        <f t="shared" si="2"/>
        <v>15.745000000000001</v>
      </c>
      <c r="I239"/>
      <c r="J239"/>
    </row>
    <row r="240" spans="2:11" ht="15">
      <c r="B240" s="267" t="s">
        <v>345</v>
      </c>
      <c r="C240" s="24" t="s">
        <v>81</v>
      </c>
      <c r="D240" s="9"/>
      <c r="E240" s="175"/>
      <c r="F240" s="282"/>
      <c r="G240" s="283"/>
      <c r="H240" s="175"/>
      <c r="I240"/>
      <c r="J240"/>
    </row>
    <row r="241" spans="2:12" ht="15">
      <c r="B241" s="267"/>
      <c r="C241" s="63" t="s">
        <v>149</v>
      </c>
      <c r="D241" s="9"/>
      <c r="E241" s="175">
        <v>4.7</v>
      </c>
      <c r="F241" s="282">
        <v>3.35</v>
      </c>
      <c r="G241" s="283"/>
      <c r="H241" s="175">
        <f t="shared" si="2"/>
        <v>15.745000000000001</v>
      </c>
      <c r="I241"/>
      <c r="J241"/>
      <c r="K241"/>
      <c r="L241"/>
    </row>
    <row r="242" spans="2:12" ht="15">
      <c r="B242" s="377" t="s">
        <v>15</v>
      </c>
      <c r="C242" s="378"/>
      <c r="D242" s="378"/>
      <c r="E242" s="378"/>
      <c r="F242" s="378"/>
      <c r="G242" s="379"/>
      <c r="H242" s="64">
        <f>SUM(H241,H239,H237,H235,H233,H231)</f>
        <v>280.685</v>
      </c>
      <c r="I242"/>
      <c r="J242"/>
      <c r="K242"/>
      <c r="L242"/>
    </row>
    <row r="243" spans="2:12" ht="15.75" thickBot="1">
      <c r="B243" s="8" t="s">
        <v>153</v>
      </c>
      <c r="C243" s="14" t="s">
        <v>43</v>
      </c>
      <c r="D243" s="9" t="s">
        <v>53</v>
      </c>
      <c r="E243" s="371">
        <v>1</v>
      </c>
      <c r="F243" s="297"/>
      <c r="G243" s="297"/>
      <c r="H243" s="298"/>
      <c r="I243"/>
      <c r="J243"/>
      <c r="K243"/>
      <c r="L243"/>
    </row>
    <row r="244" spans="2:12" ht="15.75" thickBot="1">
      <c r="B244" s="320" t="s">
        <v>161</v>
      </c>
      <c r="C244" s="321"/>
      <c r="D244" s="321"/>
      <c r="E244" s="321"/>
      <c r="F244" s="321"/>
      <c r="G244" s="321"/>
      <c r="H244" s="321"/>
      <c r="I244"/>
      <c r="J244"/>
      <c r="K244"/>
      <c r="L244"/>
    </row>
    <row r="245" spans="2:12" ht="13.5" customHeight="1" thickBot="1">
      <c r="B245" s="320" t="s">
        <v>162</v>
      </c>
      <c r="C245" s="321"/>
      <c r="D245" s="321"/>
      <c r="E245" s="321"/>
      <c r="F245" s="321"/>
      <c r="G245" s="321"/>
      <c r="H245" s="321"/>
      <c r="I245"/>
      <c r="J245"/>
      <c r="K245"/>
      <c r="L245"/>
    </row>
    <row r="246" spans="2:12" ht="13.5" customHeight="1" thickBot="1">
      <c r="B246" s="145" t="s">
        <v>3</v>
      </c>
      <c r="C246" s="115" t="s">
        <v>4</v>
      </c>
      <c r="D246" s="19" t="s">
        <v>5</v>
      </c>
      <c r="E246" s="372" t="s">
        <v>6</v>
      </c>
      <c r="F246" s="373"/>
      <c r="G246" s="374"/>
      <c r="H246" s="375"/>
      <c r="I246"/>
      <c r="J246"/>
      <c r="K246"/>
      <c r="L246"/>
    </row>
    <row r="247" spans="2:12" ht="15.75" thickBot="1">
      <c r="B247" s="347" t="s">
        <v>7</v>
      </c>
      <c r="C247" s="348"/>
      <c r="D247" s="348"/>
      <c r="E247" s="348"/>
      <c r="F247" s="348"/>
      <c r="G247" s="348"/>
      <c r="H247" s="349"/>
      <c r="I247"/>
      <c r="J247"/>
      <c r="K247"/>
      <c r="L247"/>
    </row>
    <row r="248" spans="2:12" ht="15">
      <c r="B248" s="108">
        <v>1</v>
      </c>
      <c r="C248" s="305" t="s">
        <v>8</v>
      </c>
      <c r="D248" s="305"/>
      <c r="E248" s="305"/>
      <c r="F248" s="305"/>
      <c r="G248" s="376"/>
      <c r="H248" s="350"/>
      <c r="I248"/>
      <c r="J248"/>
      <c r="K248"/>
      <c r="L248"/>
    </row>
    <row r="249" spans="2:12" ht="15">
      <c r="B249" s="146" t="s">
        <v>12</v>
      </c>
      <c r="C249" s="60" t="s">
        <v>201</v>
      </c>
      <c r="D249" s="147" t="s">
        <v>9</v>
      </c>
      <c r="E249" s="147" t="s">
        <v>10</v>
      </c>
      <c r="F249" s="328" t="s">
        <v>90</v>
      </c>
      <c r="G249" s="329"/>
      <c r="H249" s="148" t="s">
        <v>11</v>
      </c>
      <c r="I249"/>
      <c r="J249"/>
      <c r="K249"/>
      <c r="L249"/>
    </row>
    <row r="250" spans="2:12" ht="15">
      <c r="B250" s="162" t="s">
        <v>346</v>
      </c>
      <c r="C250" s="149" t="s">
        <v>88</v>
      </c>
      <c r="D250" s="68"/>
      <c r="E250" s="92">
        <v>7.18</v>
      </c>
      <c r="F250" s="326">
        <v>16.600000000000001</v>
      </c>
      <c r="G250" s="327"/>
      <c r="H250" s="150">
        <f>E250*F250</f>
        <v>119.188</v>
      </c>
      <c r="I250"/>
      <c r="J250"/>
      <c r="K250"/>
      <c r="L250"/>
    </row>
    <row r="251" spans="2:12" ht="15">
      <c r="B251" s="162" t="s">
        <v>347</v>
      </c>
      <c r="C251" s="149" t="s">
        <v>47</v>
      </c>
      <c r="D251" s="68"/>
      <c r="E251" s="92">
        <v>1.78</v>
      </c>
      <c r="F251" s="326">
        <v>3.4</v>
      </c>
      <c r="G251" s="327"/>
      <c r="H251" s="150">
        <f t="shared" ref="H251:H253" si="3">E251*F251</f>
        <v>6.0519999999999996</v>
      </c>
      <c r="I251"/>
      <c r="J251"/>
      <c r="K251"/>
      <c r="L251"/>
    </row>
    <row r="252" spans="2:12" ht="15">
      <c r="B252" s="162" t="s">
        <v>348</v>
      </c>
      <c r="C252" s="149" t="s">
        <v>326</v>
      </c>
      <c r="D252" s="68"/>
      <c r="E252" s="95">
        <v>2</v>
      </c>
      <c r="F252" s="328">
        <v>3.25</v>
      </c>
      <c r="G252" s="329"/>
      <c r="H252" s="150">
        <f t="shared" si="3"/>
        <v>6.5</v>
      </c>
      <c r="I252"/>
      <c r="J252"/>
      <c r="K252"/>
      <c r="L252"/>
    </row>
    <row r="253" spans="2:12" ht="15">
      <c r="B253" s="162" t="s">
        <v>349</v>
      </c>
      <c r="C253" s="149" t="s">
        <v>327</v>
      </c>
      <c r="D253" s="68"/>
      <c r="E253" s="54">
        <v>1.45</v>
      </c>
      <c r="F253" s="330">
        <v>3.1</v>
      </c>
      <c r="G253" s="331"/>
      <c r="H253" s="150">
        <f t="shared" si="3"/>
        <v>4.4950000000000001</v>
      </c>
      <c r="I253"/>
      <c r="J253"/>
      <c r="K253"/>
      <c r="L253"/>
    </row>
    <row r="254" spans="2:12">
      <c r="B254" s="162" t="s">
        <v>350</v>
      </c>
      <c r="C254" s="149" t="s">
        <v>328</v>
      </c>
      <c r="D254" s="68"/>
      <c r="E254" s="95">
        <v>1.5</v>
      </c>
      <c r="F254" s="326">
        <v>3.1</v>
      </c>
      <c r="G254" s="327"/>
      <c r="H254" s="150">
        <f t="shared" ref="H254" si="4">F254*E254</f>
        <v>4.6500000000000004</v>
      </c>
    </row>
    <row r="255" spans="2:12" ht="13.5" thickBot="1">
      <c r="B255" s="293" t="s">
        <v>15</v>
      </c>
      <c r="C255" s="294"/>
      <c r="D255" s="294"/>
      <c r="E255" s="294"/>
      <c r="F255" s="294"/>
      <c r="G255" s="296"/>
      <c r="H255" s="40">
        <f>SUM(H250:H254)</f>
        <v>140.88500000000002</v>
      </c>
    </row>
    <row r="256" spans="2:12" ht="13.5" thickBot="1">
      <c r="B256" s="347" t="s">
        <v>16</v>
      </c>
      <c r="C256" s="348"/>
      <c r="D256" s="348"/>
      <c r="E256" s="348"/>
      <c r="F256" s="348"/>
      <c r="G256" s="348"/>
      <c r="H256" s="349"/>
    </row>
    <row r="257" spans="2:8">
      <c r="B257" s="37">
        <v>2</v>
      </c>
      <c r="C257" s="368" t="s">
        <v>17</v>
      </c>
      <c r="D257" s="369"/>
      <c r="E257" s="369"/>
      <c r="F257" s="369"/>
      <c r="G257" s="369"/>
      <c r="H257" s="370"/>
    </row>
    <row r="258" spans="2:8">
      <c r="B258" s="38" t="s">
        <v>18</v>
      </c>
      <c r="C258" s="39" t="s">
        <v>92</v>
      </c>
      <c r="D258" s="32" t="s">
        <v>93</v>
      </c>
      <c r="E258" s="310" t="s">
        <v>94</v>
      </c>
      <c r="F258" s="311"/>
      <c r="G258" s="311"/>
      <c r="H258" s="312"/>
    </row>
    <row r="259" spans="2:8" ht="13.5" thickBot="1">
      <c r="B259" s="332" t="s">
        <v>15</v>
      </c>
      <c r="C259" s="295"/>
      <c r="D259" s="295"/>
      <c r="E259" s="295"/>
      <c r="F259" s="295"/>
      <c r="G259" s="333"/>
      <c r="H259" s="98">
        <v>4</v>
      </c>
    </row>
    <row r="260" spans="2:8" ht="13.5" thickBot="1">
      <c r="B260" s="362" t="s">
        <v>19</v>
      </c>
      <c r="C260" s="363"/>
      <c r="D260" s="363"/>
      <c r="E260" s="363"/>
      <c r="F260" s="363"/>
      <c r="G260" s="363"/>
      <c r="H260" s="364"/>
    </row>
    <row r="261" spans="2:8">
      <c r="B261" s="49">
        <v>3</v>
      </c>
      <c r="C261" s="120" t="s">
        <v>32</v>
      </c>
      <c r="D261" s="10"/>
      <c r="E261" s="151"/>
      <c r="F261" s="11"/>
      <c r="G261" s="152"/>
      <c r="H261" s="25"/>
    </row>
    <row r="262" spans="2:8">
      <c r="B262" s="66" t="s">
        <v>58</v>
      </c>
      <c r="C262" s="24" t="s">
        <v>164</v>
      </c>
      <c r="D262" s="54" t="s">
        <v>53</v>
      </c>
      <c r="E262" s="365"/>
      <c r="F262" s="366"/>
      <c r="G262" s="366"/>
      <c r="H262" s="367"/>
    </row>
    <row r="263" spans="2:8">
      <c r="B263" s="153" t="s">
        <v>203</v>
      </c>
      <c r="C263" s="149" t="s">
        <v>88</v>
      </c>
      <c r="D263" s="54"/>
      <c r="E263" s="355">
        <v>23</v>
      </c>
      <c r="F263" s="356"/>
      <c r="G263" s="356"/>
      <c r="H263" s="357"/>
    </row>
    <row r="264" spans="2:8">
      <c r="B264" s="153" t="s">
        <v>204</v>
      </c>
      <c r="C264" s="149" t="s">
        <v>326</v>
      </c>
      <c r="D264" s="54"/>
      <c r="E264" s="355">
        <v>5</v>
      </c>
      <c r="F264" s="356"/>
      <c r="G264" s="356"/>
      <c r="H264" s="357"/>
    </row>
    <row r="265" spans="2:8">
      <c r="B265" s="293" t="s">
        <v>15</v>
      </c>
      <c r="C265" s="294"/>
      <c r="D265" s="294"/>
      <c r="E265" s="294"/>
      <c r="F265" s="294"/>
      <c r="G265" s="296"/>
      <c r="H265" s="40">
        <f>E264+E263</f>
        <v>28</v>
      </c>
    </row>
    <row r="266" spans="2:8" ht="38.25">
      <c r="B266" s="66" t="s">
        <v>59</v>
      </c>
      <c r="C266" s="90" t="s">
        <v>97</v>
      </c>
      <c r="D266" s="54" t="s">
        <v>53</v>
      </c>
      <c r="E266" s="365"/>
      <c r="F266" s="366"/>
      <c r="G266" s="366"/>
      <c r="H266" s="367"/>
    </row>
    <row r="267" spans="2:8">
      <c r="B267" s="153" t="s">
        <v>205</v>
      </c>
      <c r="C267" s="90" t="s">
        <v>206</v>
      </c>
      <c r="D267" s="54"/>
      <c r="E267" s="355">
        <v>2</v>
      </c>
      <c r="F267" s="356"/>
      <c r="G267" s="356"/>
      <c r="H267" s="357"/>
    </row>
    <row r="268" spans="2:8">
      <c r="B268" s="293" t="s">
        <v>15</v>
      </c>
      <c r="C268" s="294"/>
      <c r="D268" s="294"/>
      <c r="E268" s="294"/>
      <c r="F268" s="294"/>
      <c r="G268" s="296"/>
      <c r="H268" s="40">
        <f>E267+E266</f>
        <v>2</v>
      </c>
    </row>
    <row r="269" spans="2:8">
      <c r="B269" s="66" t="s">
        <v>60</v>
      </c>
      <c r="C269" s="24" t="s">
        <v>100</v>
      </c>
      <c r="D269" s="54" t="s">
        <v>53</v>
      </c>
      <c r="E269" s="355"/>
      <c r="F269" s="356"/>
      <c r="G269" s="356"/>
      <c r="H269" s="357"/>
    </row>
    <row r="270" spans="2:8">
      <c r="B270" s="153" t="s">
        <v>207</v>
      </c>
      <c r="C270" s="90" t="s">
        <v>206</v>
      </c>
      <c r="D270" s="54"/>
      <c r="E270" s="355">
        <v>2</v>
      </c>
      <c r="F270" s="356"/>
      <c r="G270" s="356"/>
      <c r="H270" s="357"/>
    </row>
    <row r="271" spans="2:8" ht="13.5" thickBot="1">
      <c r="B271" s="293" t="s">
        <v>15</v>
      </c>
      <c r="C271" s="294"/>
      <c r="D271" s="294"/>
      <c r="E271" s="294"/>
      <c r="F271" s="294"/>
      <c r="G271" s="296"/>
      <c r="H271" s="40">
        <f>E270+E269</f>
        <v>2</v>
      </c>
    </row>
    <row r="272" spans="2:8" ht="13.5" thickBot="1">
      <c r="B272" s="334" t="s">
        <v>101</v>
      </c>
      <c r="C272" s="335"/>
      <c r="D272" s="335"/>
      <c r="E272" s="335"/>
      <c r="F272" s="335"/>
      <c r="G272" s="335"/>
      <c r="H272" s="336"/>
    </row>
    <row r="273" spans="2:8">
      <c r="B273" s="96">
        <v>4</v>
      </c>
      <c r="C273" s="116" t="s">
        <v>102</v>
      </c>
      <c r="D273" s="358"/>
      <c r="E273" s="358"/>
      <c r="F273" s="358"/>
      <c r="G273" s="358"/>
      <c r="H273" s="359"/>
    </row>
    <row r="274" spans="2:8">
      <c r="B274" s="91" t="s">
        <v>41</v>
      </c>
      <c r="C274" s="93" t="s">
        <v>103</v>
      </c>
      <c r="D274" s="360"/>
      <c r="E274" s="360"/>
      <c r="F274" s="360"/>
      <c r="G274" s="360"/>
      <c r="H274" s="361"/>
    </row>
    <row r="275" spans="2:8">
      <c r="B275" s="91" t="s">
        <v>42</v>
      </c>
      <c r="C275" s="94" t="s">
        <v>104</v>
      </c>
      <c r="D275" s="360"/>
      <c r="E275" s="360"/>
      <c r="F275" s="360"/>
      <c r="G275" s="360"/>
      <c r="H275" s="361"/>
    </row>
    <row r="276" spans="2:8">
      <c r="B276" s="91" t="s">
        <v>105</v>
      </c>
      <c r="C276" s="94" t="s">
        <v>106</v>
      </c>
      <c r="D276" s="54" t="s">
        <v>53</v>
      </c>
      <c r="E276" s="328"/>
      <c r="F276" s="353"/>
      <c r="G276" s="353"/>
      <c r="H276" s="354"/>
    </row>
    <row r="277" spans="2:8">
      <c r="B277" s="154" t="s">
        <v>208</v>
      </c>
      <c r="C277" s="149" t="s">
        <v>328</v>
      </c>
      <c r="D277" s="156"/>
      <c r="E277" s="344">
        <v>1</v>
      </c>
      <c r="F277" s="345"/>
      <c r="G277" s="345"/>
      <c r="H277" s="346"/>
    </row>
    <row r="278" spans="2:8">
      <c r="B278" s="293" t="s">
        <v>15</v>
      </c>
      <c r="C278" s="294"/>
      <c r="D278" s="294"/>
      <c r="E278" s="294"/>
      <c r="F278" s="294"/>
      <c r="G278" s="296"/>
      <c r="H278" s="40">
        <f>E277</f>
        <v>1</v>
      </c>
    </row>
    <row r="279" spans="2:8">
      <c r="B279" s="54" t="s">
        <v>107</v>
      </c>
      <c r="C279" s="94" t="s">
        <v>297</v>
      </c>
      <c r="D279" s="360"/>
      <c r="E279" s="360"/>
      <c r="F279" s="360"/>
      <c r="G279" s="360"/>
      <c r="H279" s="361"/>
    </row>
    <row r="280" spans="2:8">
      <c r="B280" s="82"/>
      <c r="C280" s="149" t="s">
        <v>328</v>
      </c>
      <c r="D280" s="82"/>
      <c r="E280" s="344">
        <v>1</v>
      </c>
      <c r="F280" s="345"/>
      <c r="G280" s="345"/>
      <c r="H280" s="346"/>
    </row>
    <row r="281" spans="2:8">
      <c r="B281" s="82"/>
      <c r="C281" s="149" t="s">
        <v>327</v>
      </c>
      <c r="D281" s="82"/>
      <c r="E281" s="344">
        <v>1</v>
      </c>
      <c r="F281" s="345"/>
      <c r="G281" s="345"/>
      <c r="H281" s="346"/>
    </row>
    <row r="282" spans="2:8">
      <c r="B282" s="293" t="s">
        <v>15</v>
      </c>
      <c r="C282" s="294"/>
      <c r="D282" s="294"/>
      <c r="E282" s="294"/>
      <c r="F282" s="294"/>
      <c r="G282" s="296"/>
      <c r="H282" s="40">
        <f>E281+E280</f>
        <v>2</v>
      </c>
    </row>
    <row r="283" spans="2:8">
      <c r="B283" s="54" t="s">
        <v>109</v>
      </c>
      <c r="C283" s="94" t="s">
        <v>299</v>
      </c>
      <c r="D283" s="360"/>
      <c r="E283" s="360"/>
      <c r="F283" s="360"/>
      <c r="G283" s="360"/>
      <c r="H283" s="361"/>
    </row>
    <row r="284" spans="2:8">
      <c r="B284" s="82"/>
      <c r="C284" s="149" t="s">
        <v>328</v>
      </c>
      <c r="D284" s="82"/>
      <c r="E284" s="344">
        <v>1</v>
      </c>
      <c r="F284" s="345"/>
      <c r="G284" s="345"/>
      <c r="H284" s="346"/>
    </row>
    <row r="285" spans="2:8">
      <c r="B285" s="82"/>
      <c r="C285" s="149" t="s">
        <v>327</v>
      </c>
      <c r="D285" s="82"/>
      <c r="E285" s="344">
        <v>1</v>
      </c>
      <c r="F285" s="345"/>
      <c r="G285" s="345"/>
      <c r="H285" s="346"/>
    </row>
    <row r="286" spans="2:8">
      <c r="B286" s="293" t="s">
        <v>15</v>
      </c>
      <c r="C286" s="294"/>
      <c r="D286" s="294"/>
      <c r="E286" s="294"/>
      <c r="F286" s="294"/>
      <c r="G286" s="296"/>
      <c r="H286" s="40">
        <f>E285+E284</f>
        <v>2</v>
      </c>
    </row>
    <row r="287" spans="2:8">
      <c r="B287" s="91" t="s">
        <v>111</v>
      </c>
      <c r="C287" s="94" t="s">
        <v>108</v>
      </c>
      <c r="D287" s="328"/>
      <c r="E287" s="353"/>
      <c r="F287" s="353"/>
      <c r="G287" s="353"/>
      <c r="H287" s="354"/>
    </row>
    <row r="288" spans="2:8">
      <c r="B288" s="91" t="s">
        <v>112</v>
      </c>
      <c r="C288" s="94" t="s">
        <v>110</v>
      </c>
      <c r="D288" s="54" t="s">
        <v>53</v>
      </c>
      <c r="E288" s="326"/>
      <c r="F288" s="342"/>
      <c r="G288" s="342"/>
      <c r="H288" s="343"/>
    </row>
    <row r="289" spans="2:8">
      <c r="B289" s="157" t="s">
        <v>300</v>
      </c>
      <c r="C289" s="149" t="s">
        <v>328</v>
      </c>
      <c r="D289" s="156"/>
      <c r="E289" s="344">
        <v>1</v>
      </c>
      <c r="F289" s="345"/>
      <c r="G289" s="345"/>
      <c r="H289" s="346"/>
    </row>
    <row r="290" spans="2:8">
      <c r="B290" s="293" t="s">
        <v>15</v>
      </c>
      <c r="C290" s="294"/>
      <c r="D290" s="294"/>
      <c r="E290" s="294"/>
      <c r="F290" s="294"/>
      <c r="G290" s="296"/>
      <c r="H290" s="40">
        <f>E289</f>
        <v>1</v>
      </c>
    </row>
    <row r="291" spans="2:8">
      <c r="B291" s="91" t="s">
        <v>113</v>
      </c>
      <c r="C291" s="94" t="s">
        <v>209</v>
      </c>
      <c r="D291" s="54" t="s">
        <v>53</v>
      </c>
      <c r="E291" s="326"/>
      <c r="F291" s="342"/>
      <c r="G291" s="342"/>
      <c r="H291" s="343"/>
    </row>
    <row r="292" spans="2:8">
      <c r="B292" s="157" t="s">
        <v>210</v>
      </c>
      <c r="C292" s="149" t="s">
        <v>328</v>
      </c>
      <c r="D292" s="156"/>
      <c r="E292" s="344">
        <v>1</v>
      </c>
      <c r="F292" s="345"/>
      <c r="G292" s="345"/>
      <c r="H292" s="346"/>
    </row>
    <row r="293" spans="2:8">
      <c r="B293" s="293" t="s">
        <v>15</v>
      </c>
      <c r="C293" s="294"/>
      <c r="D293" s="294"/>
      <c r="E293" s="294"/>
      <c r="F293" s="294"/>
      <c r="G293" s="296"/>
      <c r="H293" s="40">
        <f>E292</f>
        <v>1</v>
      </c>
    </row>
    <row r="294" spans="2:8">
      <c r="B294" s="91" t="s">
        <v>117</v>
      </c>
      <c r="C294" s="94" t="s">
        <v>165</v>
      </c>
      <c r="D294" s="54"/>
      <c r="E294" s="158"/>
      <c r="F294" s="159"/>
      <c r="G294" s="159"/>
      <c r="H294" s="160"/>
    </row>
    <row r="295" spans="2:8">
      <c r="B295" s="91" t="s">
        <v>119</v>
      </c>
      <c r="C295" s="94" t="s">
        <v>166</v>
      </c>
      <c r="D295" s="54" t="s">
        <v>53</v>
      </c>
      <c r="E295" s="326"/>
      <c r="F295" s="342"/>
      <c r="G295" s="342"/>
      <c r="H295" s="343"/>
    </row>
    <row r="296" spans="2:8">
      <c r="B296" s="157" t="s">
        <v>301</v>
      </c>
      <c r="C296" s="149" t="s">
        <v>328</v>
      </c>
      <c r="D296" s="156"/>
      <c r="E296" s="344">
        <v>1</v>
      </c>
      <c r="F296" s="345"/>
      <c r="G296" s="345"/>
      <c r="H296" s="346"/>
    </row>
    <row r="297" spans="2:8" ht="13.5" thickBot="1">
      <c r="B297" s="332" t="s">
        <v>15</v>
      </c>
      <c r="C297" s="295"/>
      <c r="D297" s="295"/>
      <c r="E297" s="295"/>
      <c r="F297" s="295"/>
      <c r="G297" s="333"/>
      <c r="H297" s="98">
        <f>E296</f>
        <v>1</v>
      </c>
    </row>
    <row r="298" spans="2:8" ht="13.5" thickBot="1">
      <c r="B298" s="334" t="s">
        <v>124</v>
      </c>
      <c r="C298" s="335"/>
      <c r="D298" s="335"/>
      <c r="E298" s="335"/>
      <c r="F298" s="335"/>
      <c r="G298" s="335"/>
      <c r="H298" s="336"/>
    </row>
    <row r="299" spans="2:8">
      <c r="B299" s="49">
        <v>5</v>
      </c>
      <c r="C299" s="120" t="s">
        <v>125</v>
      </c>
      <c r="D299" s="10"/>
      <c r="E299" s="151"/>
      <c r="F299" s="11"/>
      <c r="G299" s="152"/>
      <c r="H299" s="25"/>
    </row>
    <row r="300" spans="2:8">
      <c r="B300" s="66" t="s">
        <v>54</v>
      </c>
      <c r="C300" s="24" t="s">
        <v>127</v>
      </c>
      <c r="D300" s="109" t="s">
        <v>9</v>
      </c>
      <c r="E300" s="85" t="s">
        <v>89</v>
      </c>
      <c r="F300" s="54" t="s">
        <v>48</v>
      </c>
      <c r="G300" s="100" t="s">
        <v>69</v>
      </c>
      <c r="H300" s="101" t="s">
        <v>11</v>
      </c>
    </row>
    <row r="301" spans="2:8">
      <c r="B301" s="153" t="s">
        <v>211</v>
      </c>
      <c r="C301" s="149" t="s">
        <v>88</v>
      </c>
      <c r="D301" s="54"/>
      <c r="E301" s="85"/>
      <c r="F301" s="54"/>
      <c r="G301" s="100"/>
      <c r="H301" s="101"/>
    </row>
    <row r="302" spans="2:8">
      <c r="B302" s="153"/>
      <c r="C302" s="24" t="s">
        <v>212</v>
      </c>
      <c r="D302" s="54"/>
      <c r="E302" s="85">
        <v>0.5</v>
      </c>
      <c r="F302" s="54">
        <v>0.15</v>
      </c>
      <c r="G302" s="100">
        <v>1</v>
      </c>
      <c r="H302" s="103">
        <f>F302*G302*E302</f>
        <v>7.4999999999999997E-2</v>
      </c>
    </row>
    <row r="303" spans="2:8">
      <c r="B303" s="153"/>
      <c r="C303" s="24" t="s">
        <v>213</v>
      </c>
      <c r="D303" s="54"/>
      <c r="E303" s="85">
        <v>0.5</v>
      </c>
      <c r="F303" s="54">
        <v>0.15</v>
      </c>
      <c r="G303" s="100">
        <v>10</v>
      </c>
      <c r="H303" s="101">
        <f>F303*G303*E303</f>
        <v>0.75</v>
      </c>
    </row>
    <row r="304" spans="2:8" ht="13.5" thickBot="1">
      <c r="B304" s="293" t="s">
        <v>15</v>
      </c>
      <c r="C304" s="294"/>
      <c r="D304" s="294"/>
      <c r="E304" s="294"/>
      <c r="F304" s="294"/>
      <c r="G304" s="296"/>
      <c r="H304" s="40">
        <f>H302+H303</f>
        <v>0.82499999999999996</v>
      </c>
    </row>
    <row r="305" spans="2:8" ht="13.5" thickBot="1">
      <c r="B305" s="347" t="s">
        <v>168</v>
      </c>
      <c r="C305" s="348"/>
      <c r="D305" s="348"/>
      <c r="E305" s="348"/>
      <c r="F305" s="348"/>
      <c r="G305" s="348"/>
      <c r="H305" s="349"/>
    </row>
    <row r="306" spans="2:8">
      <c r="B306" s="108">
        <v>6</v>
      </c>
      <c r="C306" s="305" t="s">
        <v>169</v>
      </c>
      <c r="D306" s="305"/>
      <c r="E306" s="305"/>
      <c r="F306" s="305"/>
      <c r="G306" s="305"/>
      <c r="H306" s="350"/>
    </row>
    <row r="307" spans="2:8" ht="30" customHeight="1">
      <c r="B307" s="146" t="s">
        <v>20</v>
      </c>
      <c r="C307" s="161" t="s">
        <v>170</v>
      </c>
      <c r="D307" s="252" t="s">
        <v>9</v>
      </c>
      <c r="E307" s="252" t="s">
        <v>10</v>
      </c>
      <c r="F307" s="351" t="s">
        <v>90</v>
      </c>
      <c r="G307" s="352"/>
      <c r="H307" s="253" t="s">
        <v>11</v>
      </c>
    </row>
    <row r="308" spans="2:8">
      <c r="B308" s="162" t="s">
        <v>214</v>
      </c>
      <c r="C308" s="149" t="s">
        <v>88</v>
      </c>
      <c r="D308" s="68"/>
      <c r="E308" s="92">
        <v>7.18</v>
      </c>
      <c r="F308" s="326">
        <v>16.600000000000001</v>
      </c>
      <c r="G308" s="327"/>
      <c r="H308" s="150">
        <f>E308*F308</f>
        <v>119.188</v>
      </c>
    </row>
    <row r="309" spans="2:8">
      <c r="B309" s="162" t="s">
        <v>215</v>
      </c>
      <c r="C309" s="149" t="s">
        <v>47</v>
      </c>
      <c r="D309" s="68"/>
      <c r="E309" s="92">
        <v>1.78</v>
      </c>
      <c r="F309" s="326">
        <v>3.4</v>
      </c>
      <c r="G309" s="327"/>
      <c r="H309" s="150">
        <f t="shared" ref="H309:H311" si="5">E309*F309</f>
        <v>6.0519999999999996</v>
      </c>
    </row>
    <row r="310" spans="2:8">
      <c r="B310" s="162" t="s">
        <v>216</v>
      </c>
      <c r="C310" s="149" t="s">
        <v>326</v>
      </c>
      <c r="D310" s="68"/>
      <c r="E310" s="95">
        <v>2</v>
      </c>
      <c r="F310" s="328">
        <v>3.25</v>
      </c>
      <c r="G310" s="329"/>
      <c r="H310" s="150">
        <f t="shared" si="5"/>
        <v>6.5</v>
      </c>
    </row>
    <row r="311" spans="2:8">
      <c r="B311" s="162" t="s">
        <v>217</v>
      </c>
      <c r="C311" s="149" t="s">
        <v>327</v>
      </c>
      <c r="D311" s="68"/>
      <c r="E311" s="54">
        <v>1.45</v>
      </c>
      <c r="F311" s="330">
        <v>3.1</v>
      </c>
      <c r="G311" s="331"/>
      <c r="H311" s="150">
        <f t="shared" si="5"/>
        <v>4.4950000000000001</v>
      </c>
    </row>
    <row r="312" spans="2:8">
      <c r="B312" s="162" t="s">
        <v>218</v>
      </c>
      <c r="C312" s="149" t="s">
        <v>328</v>
      </c>
      <c r="D312" s="68"/>
      <c r="E312" s="95">
        <v>1.5</v>
      </c>
      <c r="F312" s="326">
        <v>3.1</v>
      </c>
      <c r="G312" s="327"/>
      <c r="H312" s="150">
        <f t="shared" ref="H312" si="6">F312*E312</f>
        <v>4.6500000000000004</v>
      </c>
    </row>
    <row r="313" spans="2:8" ht="13.5" thickBot="1">
      <c r="B313" s="332" t="s">
        <v>15</v>
      </c>
      <c r="C313" s="295"/>
      <c r="D313" s="295"/>
      <c r="E313" s="295"/>
      <c r="F313" s="295"/>
      <c r="G313" s="333"/>
      <c r="H313" s="98">
        <f>SUM(H308:H312)</f>
        <v>140.88500000000002</v>
      </c>
    </row>
    <row r="314" spans="2:8" ht="13.5" thickBot="1">
      <c r="B314" s="334" t="s">
        <v>33</v>
      </c>
      <c r="C314" s="335"/>
      <c r="D314" s="335"/>
      <c r="E314" s="335"/>
      <c r="F314" s="335"/>
      <c r="G314" s="335"/>
      <c r="H314" s="336"/>
    </row>
    <row r="315" spans="2:8">
      <c r="B315" s="49">
        <v>7</v>
      </c>
      <c r="C315" s="120" t="s">
        <v>34</v>
      </c>
      <c r="D315" s="10"/>
      <c r="E315" s="151"/>
      <c r="F315" s="11"/>
      <c r="G315" s="152"/>
      <c r="H315" s="25"/>
    </row>
    <row r="316" spans="2:8">
      <c r="B316" s="66" t="s">
        <v>21</v>
      </c>
      <c r="C316" s="60" t="s">
        <v>35</v>
      </c>
      <c r="D316" s="54" t="s">
        <v>9</v>
      </c>
      <c r="E316" s="113" t="s">
        <v>10</v>
      </c>
      <c r="F316" s="54" t="s">
        <v>48</v>
      </c>
      <c r="G316" s="100" t="s">
        <v>69</v>
      </c>
      <c r="H316" s="101" t="s">
        <v>11</v>
      </c>
    </row>
    <row r="317" spans="2:8">
      <c r="B317" s="153" t="s">
        <v>219</v>
      </c>
      <c r="C317" s="149" t="s">
        <v>88</v>
      </c>
      <c r="D317" s="54"/>
      <c r="E317" s="163"/>
      <c r="F317" s="54"/>
      <c r="G317" s="100"/>
      <c r="H317" s="101"/>
    </row>
    <row r="318" spans="2:8">
      <c r="B318" s="66"/>
      <c r="C318" s="24" t="s">
        <v>220</v>
      </c>
      <c r="D318" s="54"/>
      <c r="E318" s="85">
        <f>16.6+7.18+16.6+7.18</f>
        <v>47.56</v>
      </c>
      <c r="F318" s="67">
        <v>1.8</v>
      </c>
      <c r="G318" s="102"/>
      <c r="H318" s="103">
        <f>F318*E318</f>
        <v>85.608000000000004</v>
      </c>
    </row>
    <row r="319" spans="2:8">
      <c r="B319" s="66"/>
      <c r="C319" s="24" t="s">
        <v>67</v>
      </c>
      <c r="D319" s="54"/>
      <c r="E319" s="85">
        <v>2</v>
      </c>
      <c r="F319" s="43">
        <v>0.8</v>
      </c>
      <c r="G319" s="100">
        <v>12</v>
      </c>
      <c r="H319" s="103">
        <f>G319*F319*E319</f>
        <v>19.200000000000003</v>
      </c>
    </row>
    <row r="320" spans="2:8">
      <c r="B320" s="66"/>
      <c r="C320" s="164" t="s">
        <v>68</v>
      </c>
      <c r="D320" s="54"/>
      <c r="E320" s="85">
        <v>1</v>
      </c>
      <c r="F320" s="43">
        <v>0.9</v>
      </c>
      <c r="G320" s="100">
        <v>2</v>
      </c>
      <c r="H320" s="103">
        <f>G320*F320*E320</f>
        <v>1.8</v>
      </c>
    </row>
    <row r="321" spans="2:8">
      <c r="B321" s="165"/>
      <c r="C321" s="164" t="s">
        <v>68</v>
      </c>
      <c r="D321" s="166"/>
      <c r="E321" s="85">
        <v>0.8</v>
      </c>
      <c r="F321" s="43">
        <v>0.9</v>
      </c>
      <c r="G321" s="100">
        <v>1</v>
      </c>
      <c r="H321" s="103">
        <f>G321*F321*E321</f>
        <v>0.72000000000000008</v>
      </c>
    </row>
    <row r="322" spans="2:8">
      <c r="B322" s="165"/>
      <c r="C322" s="164" t="s">
        <v>70</v>
      </c>
      <c r="D322" s="166"/>
      <c r="E322" s="85">
        <v>1</v>
      </c>
      <c r="F322" s="43">
        <v>0.9</v>
      </c>
      <c r="G322" s="100">
        <v>1</v>
      </c>
      <c r="H322" s="103">
        <f t="shared" ref="H322:H324" si="7">G322*F322*E322</f>
        <v>0.9</v>
      </c>
    </row>
    <row r="323" spans="2:8">
      <c r="B323" s="165"/>
      <c r="C323" s="164" t="s">
        <v>70</v>
      </c>
      <c r="D323" s="166"/>
      <c r="E323" s="85">
        <v>1</v>
      </c>
      <c r="F323" s="43">
        <v>0.9</v>
      </c>
      <c r="G323" s="100">
        <v>1</v>
      </c>
      <c r="H323" s="103">
        <f t="shared" si="7"/>
        <v>0.9</v>
      </c>
    </row>
    <row r="324" spans="2:8">
      <c r="B324" s="165"/>
      <c r="C324" s="164" t="s">
        <v>70</v>
      </c>
      <c r="D324" s="166"/>
      <c r="E324" s="85">
        <v>1.78</v>
      </c>
      <c r="F324" s="43">
        <v>0.9</v>
      </c>
      <c r="G324" s="100">
        <v>1</v>
      </c>
      <c r="H324" s="103">
        <f t="shared" si="7"/>
        <v>1.6020000000000001</v>
      </c>
    </row>
    <row r="325" spans="2:8">
      <c r="B325" s="293" t="s">
        <v>72</v>
      </c>
      <c r="C325" s="294"/>
      <c r="D325" s="294"/>
      <c r="E325" s="294"/>
      <c r="F325" s="294"/>
      <c r="G325" s="296"/>
      <c r="H325" s="103">
        <f>H318-H319-H320-H321-H322-H323-H324</f>
        <v>60.486000000000011</v>
      </c>
    </row>
    <row r="326" spans="2:8">
      <c r="B326" s="167" t="s">
        <v>221</v>
      </c>
      <c r="C326" s="149" t="s">
        <v>327</v>
      </c>
      <c r="D326" s="168"/>
      <c r="E326" s="163"/>
      <c r="F326" s="22"/>
      <c r="G326" s="169"/>
      <c r="H326" s="170"/>
    </row>
    <row r="327" spans="2:8">
      <c r="B327" s="66"/>
      <c r="C327" s="24" t="s">
        <v>222</v>
      </c>
      <c r="D327" s="54"/>
      <c r="E327" s="85">
        <f>1.3+1.3+1.45+1.45</f>
        <v>5.5</v>
      </c>
      <c r="F327" s="67">
        <v>1.8</v>
      </c>
      <c r="G327" s="102"/>
      <c r="H327" s="103">
        <f>E327*F327</f>
        <v>9.9</v>
      </c>
    </row>
    <row r="328" spans="2:8">
      <c r="B328" s="66"/>
      <c r="C328" s="24" t="s">
        <v>223</v>
      </c>
      <c r="D328" s="54"/>
      <c r="E328" s="85">
        <f>1.45+1.45+1.95+1.95</f>
        <v>6.8</v>
      </c>
      <c r="F328" s="43">
        <v>1.4</v>
      </c>
      <c r="G328" s="100"/>
      <c r="H328" s="103">
        <f>E328*F328</f>
        <v>9.52</v>
      </c>
    </row>
    <row r="329" spans="2:8">
      <c r="B329" s="165"/>
      <c r="C329" s="63" t="s">
        <v>67</v>
      </c>
      <c r="D329" s="166"/>
      <c r="E329" s="85">
        <v>1</v>
      </c>
      <c r="F329" s="43">
        <v>0.5</v>
      </c>
      <c r="G329" s="100">
        <v>1</v>
      </c>
      <c r="H329" s="103">
        <f>G329*F329*E329</f>
        <v>0.5</v>
      </c>
    </row>
    <row r="330" spans="2:8">
      <c r="B330" s="165"/>
      <c r="C330" s="164" t="s">
        <v>68</v>
      </c>
      <c r="D330" s="166"/>
      <c r="E330" s="85">
        <v>0.8</v>
      </c>
      <c r="F330" s="43">
        <v>0.9</v>
      </c>
      <c r="G330" s="100">
        <v>1</v>
      </c>
      <c r="H330" s="103">
        <f>G330*F330*E330</f>
        <v>0.72000000000000008</v>
      </c>
    </row>
    <row r="331" spans="2:8">
      <c r="B331" s="165"/>
      <c r="C331" s="164" t="s">
        <v>70</v>
      </c>
      <c r="D331" s="166"/>
      <c r="E331" s="85">
        <v>1</v>
      </c>
      <c r="F331" s="43">
        <v>0.9</v>
      </c>
      <c r="G331" s="100">
        <v>1</v>
      </c>
      <c r="H331" s="103">
        <f t="shared" ref="H331" si="8">G331*F331*E331</f>
        <v>0.9</v>
      </c>
    </row>
    <row r="332" spans="2:8">
      <c r="B332" s="293" t="s">
        <v>72</v>
      </c>
      <c r="C332" s="294"/>
      <c r="D332" s="294"/>
      <c r="E332" s="294"/>
      <c r="F332" s="294"/>
      <c r="G332" s="296"/>
      <c r="H332" s="103">
        <f>H327+H328-H330-H331-H329</f>
        <v>17.300000000000004</v>
      </c>
    </row>
    <row r="333" spans="2:8">
      <c r="B333" s="167" t="s">
        <v>224</v>
      </c>
      <c r="C333" s="149" t="s">
        <v>328</v>
      </c>
      <c r="D333" s="168"/>
      <c r="E333" s="163"/>
      <c r="F333" s="22"/>
      <c r="G333" s="169"/>
      <c r="H333" s="170"/>
    </row>
    <row r="334" spans="2:8">
      <c r="B334" s="153"/>
      <c r="C334" s="24" t="s">
        <v>225</v>
      </c>
      <c r="D334" s="54"/>
      <c r="E334" s="85">
        <f>1.3+1.3+1.5+1.5</f>
        <v>5.6</v>
      </c>
      <c r="F334" s="67">
        <v>1.8</v>
      </c>
      <c r="G334" s="102"/>
      <c r="H334" s="103">
        <f>F334*E334</f>
        <v>10.08</v>
      </c>
    </row>
    <row r="335" spans="2:8">
      <c r="B335" s="66"/>
      <c r="C335" s="24" t="s">
        <v>226</v>
      </c>
      <c r="D335" s="54"/>
      <c r="E335" s="85">
        <f>1.5+1.5+1.95+1.95</f>
        <v>6.9</v>
      </c>
      <c r="F335" s="43">
        <v>1.4</v>
      </c>
      <c r="G335" s="100"/>
      <c r="H335" s="103">
        <f>F335*E335</f>
        <v>9.66</v>
      </c>
    </row>
    <row r="336" spans="2:8">
      <c r="B336" s="165"/>
      <c r="C336" s="63" t="s">
        <v>67</v>
      </c>
      <c r="D336" s="166"/>
      <c r="E336" s="85">
        <v>1</v>
      </c>
      <c r="F336" s="43">
        <v>0.5</v>
      </c>
      <c r="G336" s="100">
        <v>1</v>
      </c>
      <c r="H336" s="103">
        <f>G336*F336*E336</f>
        <v>0.5</v>
      </c>
    </row>
    <row r="337" spans="2:8">
      <c r="B337" s="165"/>
      <c r="C337" s="164" t="s">
        <v>68</v>
      </c>
      <c r="D337" s="166"/>
      <c r="E337" s="85">
        <v>0.8</v>
      </c>
      <c r="F337" s="43">
        <v>0.9</v>
      </c>
      <c r="G337" s="100">
        <v>1</v>
      </c>
      <c r="H337" s="103">
        <f>G337*F337*E337</f>
        <v>0.72000000000000008</v>
      </c>
    </row>
    <row r="338" spans="2:8">
      <c r="B338" s="165"/>
      <c r="C338" s="164" t="s">
        <v>70</v>
      </c>
      <c r="D338" s="166"/>
      <c r="E338" s="85">
        <v>1</v>
      </c>
      <c r="F338" s="43">
        <v>0.9</v>
      </c>
      <c r="G338" s="100">
        <v>1</v>
      </c>
      <c r="H338" s="103">
        <f t="shared" ref="H338" si="9">G338*F338*E338</f>
        <v>0.9</v>
      </c>
    </row>
    <row r="339" spans="2:8">
      <c r="B339" s="293" t="s">
        <v>72</v>
      </c>
      <c r="C339" s="294"/>
      <c r="D339" s="294"/>
      <c r="E339" s="294"/>
      <c r="F339" s="294"/>
      <c r="G339" s="296"/>
      <c r="H339" s="103">
        <f>H334+H335-H337-H338-H336</f>
        <v>17.620000000000005</v>
      </c>
    </row>
    <row r="340" spans="2:8">
      <c r="B340" s="153" t="s">
        <v>227</v>
      </c>
      <c r="C340" s="149" t="s">
        <v>47</v>
      </c>
      <c r="D340" s="54"/>
      <c r="E340" s="163"/>
      <c r="F340" s="54"/>
      <c r="G340" s="100"/>
      <c r="H340" s="101"/>
    </row>
    <row r="341" spans="2:8">
      <c r="B341" s="66"/>
      <c r="C341" s="24" t="s">
        <v>228</v>
      </c>
      <c r="D341" s="54"/>
      <c r="E341" s="85">
        <f>1.78+3.4+3.4</f>
        <v>8.58</v>
      </c>
      <c r="F341" s="67">
        <v>1.5</v>
      </c>
      <c r="G341" s="102"/>
      <c r="H341" s="103">
        <f>E341*F341</f>
        <v>12.870000000000001</v>
      </c>
    </row>
    <row r="342" spans="2:8">
      <c r="B342" s="66"/>
      <c r="C342" s="24" t="s">
        <v>67</v>
      </c>
      <c r="D342" s="54"/>
      <c r="E342" s="85">
        <v>1</v>
      </c>
      <c r="F342" s="43">
        <v>0.5</v>
      </c>
      <c r="G342" s="100">
        <v>1</v>
      </c>
      <c r="H342" s="103">
        <f>G342*F342*E342</f>
        <v>0.5</v>
      </c>
    </row>
    <row r="343" spans="2:8">
      <c r="B343" s="66"/>
      <c r="C343" s="164" t="s">
        <v>68</v>
      </c>
      <c r="D343" s="54"/>
      <c r="E343" s="85">
        <v>0.8</v>
      </c>
      <c r="F343" s="43">
        <v>0.6</v>
      </c>
      <c r="G343" s="100">
        <v>1</v>
      </c>
      <c r="H343" s="103">
        <f>G343*F343*E343</f>
        <v>0.48</v>
      </c>
    </row>
    <row r="344" spans="2:8">
      <c r="B344" s="293" t="s">
        <v>72</v>
      </c>
      <c r="C344" s="294"/>
      <c r="D344" s="294"/>
      <c r="E344" s="294"/>
      <c r="F344" s="294"/>
      <c r="G344" s="296"/>
      <c r="H344" s="103">
        <f>H341-H342-H343</f>
        <v>11.89</v>
      </c>
    </row>
    <row r="345" spans="2:8">
      <c r="B345" s="153" t="s">
        <v>229</v>
      </c>
      <c r="C345" s="149" t="s">
        <v>326</v>
      </c>
      <c r="D345" s="54"/>
      <c r="E345" s="163"/>
      <c r="F345" s="54"/>
      <c r="G345" s="100"/>
      <c r="H345" s="101"/>
    </row>
    <row r="346" spans="2:8">
      <c r="B346" s="66"/>
      <c r="C346" s="24" t="s">
        <v>230</v>
      </c>
      <c r="D346" s="54"/>
      <c r="E346" s="85">
        <f>3.25+3.25+2+2</f>
        <v>10.5</v>
      </c>
      <c r="F346" s="67">
        <v>1.5</v>
      </c>
      <c r="G346" s="102"/>
      <c r="H346" s="103">
        <f>F346*E346</f>
        <v>15.75</v>
      </c>
    </row>
    <row r="347" spans="2:8">
      <c r="B347" s="66"/>
      <c r="C347" s="24" t="s">
        <v>67</v>
      </c>
      <c r="D347" s="54"/>
      <c r="E347" s="85">
        <v>1</v>
      </c>
      <c r="F347" s="43">
        <v>0.5</v>
      </c>
      <c r="G347" s="100">
        <v>1</v>
      </c>
      <c r="H347" s="103">
        <f>G347*F347*E347</f>
        <v>0.5</v>
      </c>
    </row>
    <row r="348" spans="2:8">
      <c r="B348" s="66"/>
      <c r="C348" s="164" t="s">
        <v>68</v>
      </c>
      <c r="D348" s="54"/>
      <c r="E348" s="85">
        <v>0.8</v>
      </c>
      <c r="F348" s="43">
        <v>0.6</v>
      </c>
      <c r="G348" s="100">
        <v>1</v>
      </c>
      <c r="H348" s="103">
        <f>G348*F348*E348</f>
        <v>0.48</v>
      </c>
    </row>
    <row r="349" spans="2:8">
      <c r="B349" s="293" t="s">
        <v>72</v>
      </c>
      <c r="C349" s="294"/>
      <c r="D349" s="294"/>
      <c r="E349" s="294"/>
      <c r="F349" s="294"/>
      <c r="G349" s="296"/>
      <c r="H349" s="103">
        <f>H346-H347-H348</f>
        <v>14.77</v>
      </c>
    </row>
    <row r="350" spans="2:8">
      <c r="B350" s="153" t="s">
        <v>231</v>
      </c>
      <c r="C350" s="24" t="s">
        <v>71</v>
      </c>
      <c r="D350" s="54"/>
      <c r="E350" s="163"/>
      <c r="F350" s="54"/>
      <c r="G350" s="100"/>
      <c r="H350" s="101"/>
    </row>
    <row r="351" spans="2:8">
      <c r="B351" s="153"/>
      <c r="C351" s="24" t="s">
        <v>232</v>
      </c>
      <c r="D351" s="54"/>
      <c r="E351" s="71">
        <v>7.48</v>
      </c>
      <c r="F351" s="54">
        <v>2.1800000000000002</v>
      </c>
      <c r="G351" s="100"/>
      <c r="H351" s="103">
        <f>E351*F351</f>
        <v>16.306400000000004</v>
      </c>
    </row>
    <row r="352" spans="2:8">
      <c r="B352" s="66"/>
      <c r="C352" s="24" t="s">
        <v>233</v>
      </c>
      <c r="D352" s="54"/>
      <c r="E352" s="85">
        <f>0.15+0.15+0.8+0.8+21.1+21.1+7.48+7.48</f>
        <v>59.06</v>
      </c>
      <c r="F352" s="171">
        <v>3</v>
      </c>
      <c r="G352" s="102"/>
      <c r="H352" s="103">
        <f>E352*F352</f>
        <v>177.18</v>
      </c>
    </row>
    <row r="353" spans="2:8">
      <c r="B353" s="66"/>
      <c r="C353" s="24" t="s">
        <v>67</v>
      </c>
      <c r="D353" s="54"/>
      <c r="E353" s="85">
        <v>2</v>
      </c>
      <c r="F353" s="43">
        <v>1</v>
      </c>
      <c r="G353" s="100">
        <v>12</v>
      </c>
      <c r="H353" s="103">
        <f>G353*F353*E353</f>
        <v>24</v>
      </c>
    </row>
    <row r="354" spans="2:8">
      <c r="B354" s="66"/>
      <c r="C354" s="24" t="s">
        <v>67</v>
      </c>
      <c r="D354" s="54"/>
      <c r="E354" s="85">
        <v>1</v>
      </c>
      <c r="F354" s="43">
        <v>0.5</v>
      </c>
      <c r="G354" s="100">
        <v>4</v>
      </c>
      <c r="H354" s="103">
        <f t="shared" ref="H354:H356" si="10">G354*F354*E354</f>
        <v>2</v>
      </c>
    </row>
    <row r="355" spans="2:8">
      <c r="B355" s="66"/>
      <c r="C355" s="164" t="s">
        <v>68</v>
      </c>
      <c r="D355" s="54"/>
      <c r="E355" s="85">
        <v>1</v>
      </c>
      <c r="F355" s="43">
        <v>2.1</v>
      </c>
      <c r="G355" s="100">
        <v>2</v>
      </c>
      <c r="H355" s="103">
        <f t="shared" si="10"/>
        <v>4.2</v>
      </c>
    </row>
    <row r="356" spans="2:8">
      <c r="B356" s="66"/>
      <c r="C356" s="164" t="s">
        <v>68</v>
      </c>
      <c r="D356" s="54"/>
      <c r="E356" s="85">
        <v>0.8</v>
      </c>
      <c r="F356" s="43">
        <v>2.1</v>
      </c>
      <c r="G356" s="100">
        <v>1</v>
      </c>
      <c r="H356" s="103">
        <f t="shared" si="10"/>
        <v>1.6800000000000002</v>
      </c>
    </row>
    <row r="357" spans="2:8">
      <c r="B357" s="293" t="s">
        <v>72</v>
      </c>
      <c r="C357" s="294"/>
      <c r="D357" s="294"/>
      <c r="E357" s="294"/>
      <c r="F357" s="294"/>
      <c r="G357" s="296"/>
      <c r="H357" s="103">
        <f>H352-H353-H356-H354-H355+H351</f>
        <v>161.60640000000001</v>
      </c>
    </row>
    <row r="358" spans="2:8">
      <c r="B358" s="84" t="s">
        <v>351</v>
      </c>
      <c r="C358" s="83" t="s">
        <v>293</v>
      </c>
      <c r="D358" s="82"/>
      <c r="E358" s="82"/>
      <c r="F358" s="82"/>
      <c r="G358" s="82"/>
      <c r="H358" s="43"/>
    </row>
    <row r="359" spans="2:8">
      <c r="B359" s="82"/>
      <c r="C359" s="83" t="s">
        <v>294</v>
      </c>
      <c r="D359" s="82"/>
      <c r="E359" s="43">
        <v>5</v>
      </c>
      <c r="F359" s="43">
        <v>2.1</v>
      </c>
      <c r="G359" s="43"/>
      <c r="H359" s="43">
        <f>F359*E359</f>
        <v>10.5</v>
      </c>
    </row>
    <row r="360" spans="2:8">
      <c r="B360" s="82"/>
      <c r="C360" s="83" t="s">
        <v>296</v>
      </c>
      <c r="D360" s="82"/>
      <c r="E360" s="43">
        <v>25</v>
      </c>
      <c r="F360" s="43">
        <v>1.6</v>
      </c>
      <c r="G360" s="43"/>
      <c r="H360" s="43">
        <f>F360*E360</f>
        <v>40</v>
      </c>
    </row>
    <row r="361" spans="2:8">
      <c r="B361" s="293" t="s">
        <v>72</v>
      </c>
      <c r="C361" s="294"/>
      <c r="D361" s="294"/>
      <c r="E361" s="294"/>
      <c r="F361" s="294"/>
      <c r="G361" s="296"/>
      <c r="H361" s="103">
        <f>H359+H360</f>
        <v>50.5</v>
      </c>
    </row>
    <row r="362" spans="2:8">
      <c r="B362" s="293" t="s">
        <v>15</v>
      </c>
      <c r="C362" s="294"/>
      <c r="D362" s="294"/>
      <c r="E362" s="294"/>
      <c r="F362" s="294"/>
      <c r="G362" s="296"/>
      <c r="H362" s="40">
        <f>H349+H344+H339+H332+H325+H357+H361</f>
        <v>334.17240000000004</v>
      </c>
    </row>
    <row r="363" spans="2:8">
      <c r="B363" s="66" t="s">
        <v>62</v>
      </c>
      <c r="C363" s="60" t="s">
        <v>171</v>
      </c>
      <c r="D363" s="54" t="s">
        <v>9</v>
      </c>
      <c r="E363" s="113" t="s">
        <v>10</v>
      </c>
      <c r="F363" s="54" t="s">
        <v>48</v>
      </c>
      <c r="G363" s="100" t="s">
        <v>69</v>
      </c>
      <c r="H363" s="101" t="s">
        <v>11</v>
      </c>
    </row>
    <row r="364" spans="2:8">
      <c r="B364" s="153" t="s">
        <v>234</v>
      </c>
      <c r="C364" s="149" t="s">
        <v>88</v>
      </c>
      <c r="D364" s="54"/>
      <c r="E364" s="163"/>
      <c r="F364" s="54"/>
      <c r="G364" s="100"/>
      <c r="H364" s="101"/>
    </row>
    <row r="365" spans="2:8">
      <c r="B365" s="66"/>
      <c r="C365" s="24" t="s">
        <v>220</v>
      </c>
      <c r="D365" s="54"/>
      <c r="E365" s="85">
        <f>16.6+7.18+16.6+7.18</f>
        <v>47.56</v>
      </c>
      <c r="F365" s="67">
        <v>1.2</v>
      </c>
      <c r="G365" s="102"/>
      <c r="H365" s="103">
        <f>F365*E365</f>
        <v>57.072000000000003</v>
      </c>
    </row>
    <row r="366" spans="2:8">
      <c r="B366" s="66"/>
      <c r="C366" s="24" t="s">
        <v>67</v>
      </c>
      <c r="D366" s="54"/>
      <c r="E366" s="85">
        <v>2</v>
      </c>
      <c r="F366" s="43">
        <v>0.2</v>
      </c>
      <c r="G366" s="100">
        <v>12</v>
      </c>
      <c r="H366" s="103">
        <f>G366*F366*E366</f>
        <v>4.8000000000000007</v>
      </c>
    </row>
    <row r="367" spans="2:8">
      <c r="B367" s="66"/>
      <c r="C367" s="164" t="s">
        <v>68</v>
      </c>
      <c r="D367" s="54"/>
      <c r="E367" s="85">
        <v>1</v>
      </c>
      <c r="F367" s="43">
        <v>1.2</v>
      </c>
      <c r="G367" s="100">
        <v>2</v>
      </c>
      <c r="H367" s="103">
        <f t="shared" ref="H367:H371" si="11">G367*F367*E367</f>
        <v>2.4</v>
      </c>
    </row>
    <row r="368" spans="2:8">
      <c r="B368" s="165"/>
      <c r="C368" s="164" t="s">
        <v>68</v>
      </c>
      <c r="D368" s="166"/>
      <c r="E368" s="85">
        <v>0.8</v>
      </c>
      <c r="F368" s="43">
        <v>1.2</v>
      </c>
      <c r="G368" s="100">
        <v>1</v>
      </c>
      <c r="H368" s="103">
        <f t="shared" si="11"/>
        <v>0.96</v>
      </c>
    </row>
    <row r="369" spans="2:8">
      <c r="B369" s="165"/>
      <c r="C369" s="164" t="s">
        <v>70</v>
      </c>
      <c r="D369" s="166"/>
      <c r="E369" s="85">
        <v>1</v>
      </c>
      <c r="F369" s="43">
        <v>1.2</v>
      </c>
      <c r="G369" s="100">
        <v>1</v>
      </c>
      <c r="H369" s="103">
        <f t="shared" si="11"/>
        <v>1.2</v>
      </c>
    </row>
    <row r="370" spans="2:8">
      <c r="B370" s="165"/>
      <c r="C370" s="164" t="s">
        <v>70</v>
      </c>
      <c r="D370" s="166"/>
      <c r="E370" s="85">
        <v>1</v>
      </c>
      <c r="F370" s="43">
        <v>1.2</v>
      </c>
      <c r="G370" s="100">
        <v>1</v>
      </c>
      <c r="H370" s="103">
        <f t="shared" si="11"/>
        <v>1.2</v>
      </c>
    </row>
    <row r="371" spans="2:8">
      <c r="B371" s="165"/>
      <c r="C371" s="164" t="s">
        <v>70</v>
      </c>
      <c r="D371" s="166"/>
      <c r="E371" s="85">
        <v>1.78</v>
      </c>
      <c r="F371" s="43">
        <v>1.2</v>
      </c>
      <c r="G371" s="100">
        <v>1</v>
      </c>
      <c r="H371" s="103">
        <f t="shared" si="11"/>
        <v>2.1360000000000001</v>
      </c>
    </row>
    <row r="372" spans="2:8">
      <c r="B372" s="293" t="s">
        <v>72</v>
      </c>
      <c r="C372" s="294"/>
      <c r="D372" s="294"/>
      <c r="E372" s="294"/>
      <c r="F372" s="294"/>
      <c r="G372" s="296"/>
      <c r="H372" s="103">
        <f>H365-H366-H367-H368-H369-H370-H371</f>
        <v>44.375999999999998</v>
      </c>
    </row>
    <row r="373" spans="2:8">
      <c r="B373" s="167" t="s">
        <v>235</v>
      </c>
      <c r="C373" s="149" t="s">
        <v>327</v>
      </c>
      <c r="D373" s="168"/>
      <c r="E373" s="163"/>
      <c r="F373" s="22"/>
      <c r="G373" s="169"/>
      <c r="H373" s="170"/>
    </row>
    <row r="374" spans="2:8">
      <c r="B374" s="66"/>
      <c r="C374" s="24" t="s">
        <v>222</v>
      </c>
      <c r="D374" s="54"/>
      <c r="E374" s="85">
        <f>1.3+1.3+1.45+1.45</f>
        <v>5.5</v>
      </c>
      <c r="F374" s="67">
        <v>1.2</v>
      </c>
      <c r="G374" s="102"/>
      <c r="H374" s="103">
        <f>E374*F374</f>
        <v>6.6</v>
      </c>
    </row>
    <row r="375" spans="2:8">
      <c r="B375" s="165"/>
      <c r="C375" s="164" t="s">
        <v>68</v>
      </c>
      <c r="D375" s="166"/>
      <c r="E375" s="85">
        <v>0.8</v>
      </c>
      <c r="F375" s="43">
        <v>1.2</v>
      </c>
      <c r="G375" s="100">
        <v>1</v>
      </c>
      <c r="H375" s="103">
        <f>G375*F375*E375</f>
        <v>0.96</v>
      </c>
    </row>
    <row r="376" spans="2:8">
      <c r="B376" s="165"/>
      <c r="C376" s="164" t="s">
        <v>70</v>
      </c>
      <c r="D376" s="166"/>
      <c r="E376" s="85">
        <v>1</v>
      </c>
      <c r="F376" s="43">
        <v>1.2</v>
      </c>
      <c r="G376" s="100">
        <v>1</v>
      </c>
      <c r="H376" s="103">
        <f t="shared" ref="H376" si="12">G376*F376*E376</f>
        <v>1.2</v>
      </c>
    </row>
    <row r="377" spans="2:8">
      <c r="B377" s="293" t="s">
        <v>72</v>
      </c>
      <c r="C377" s="294"/>
      <c r="D377" s="294"/>
      <c r="E377" s="294"/>
      <c r="F377" s="294"/>
      <c r="G377" s="296"/>
      <c r="H377" s="103">
        <f>H374-H375-H376</f>
        <v>4.4399999999999995</v>
      </c>
    </row>
    <row r="378" spans="2:8">
      <c r="B378" s="167" t="s">
        <v>236</v>
      </c>
      <c r="C378" s="149" t="s">
        <v>328</v>
      </c>
      <c r="D378" s="168"/>
      <c r="E378" s="163"/>
      <c r="F378" s="22"/>
      <c r="G378" s="169"/>
      <c r="H378" s="170"/>
    </row>
    <row r="379" spans="2:8">
      <c r="B379" s="66"/>
      <c r="C379" s="24" t="s">
        <v>225</v>
      </c>
      <c r="D379" s="54"/>
      <c r="E379" s="85">
        <f>1.3+1.3+1.5+1.5</f>
        <v>5.6</v>
      </c>
      <c r="F379" s="67">
        <v>1.2</v>
      </c>
      <c r="G379" s="102"/>
      <c r="H379" s="103">
        <f>F379*E379</f>
        <v>6.72</v>
      </c>
    </row>
    <row r="380" spans="2:8">
      <c r="B380" s="165"/>
      <c r="C380" s="164" t="s">
        <v>68</v>
      </c>
      <c r="D380" s="166"/>
      <c r="E380" s="85">
        <v>0.8</v>
      </c>
      <c r="F380" s="43">
        <v>1.2</v>
      </c>
      <c r="G380" s="100">
        <v>1</v>
      </c>
      <c r="H380" s="103">
        <f>G380*F380*E380</f>
        <v>0.96</v>
      </c>
    </row>
    <row r="381" spans="2:8">
      <c r="B381" s="165"/>
      <c r="C381" s="164" t="s">
        <v>70</v>
      </c>
      <c r="D381" s="166"/>
      <c r="E381" s="85">
        <v>1</v>
      </c>
      <c r="F381" s="43">
        <v>1.2</v>
      </c>
      <c r="G381" s="100">
        <v>1</v>
      </c>
      <c r="H381" s="103">
        <f t="shared" ref="H381" si="13">G381*F381*E381</f>
        <v>1.2</v>
      </c>
    </row>
    <row r="382" spans="2:8">
      <c r="B382" s="293" t="s">
        <v>72</v>
      </c>
      <c r="C382" s="294"/>
      <c r="D382" s="294"/>
      <c r="E382" s="294"/>
      <c r="F382" s="294"/>
      <c r="G382" s="296"/>
      <c r="H382" s="103">
        <f>H379-H380-H381</f>
        <v>4.5599999999999996</v>
      </c>
    </row>
    <row r="383" spans="2:8">
      <c r="B383" s="153" t="s">
        <v>237</v>
      </c>
      <c r="C383" s="149" t="s">
        <v>47</v>
      </c>
      <c r="D383" s="54"/>
      <c r="E383" s="163"/>
      <c r="F383" s="54"/>
      <c r="G383" s="100"/>
      <c r="H383" s="101"/>
    </row>
    <row r="384" spans="2:8">
      <c r="B384" s="66"/>
      <c r="C384" s="24" t="s">
        <v>228</v>
      </c>
      <c r="D384" s="54"/>
      <c r="E384" s="85">
        <f>1.78+3.4+3.4</f>
        <v>8.58</v>
      </c>
      <c r="F384" s="67">
        <v>1.5</v>
      </c>
      <c r="G384" s="102"/>
      <c r="H384" s="103">
        <f>E384*F384</f>
        <v>12.870000000000001</v>
      </c>
    </row>
    <row r="385" spans="2:8">
      <c r="B385" s="66"/>
      <c r="C385" s="24" t="s">
        <v>67</v>
      </c>
      <c r="D385" s="54"/>
      <c r="E385" s="85">
        <v>1</v>
      </c>
      <c r="F385" s="43">
        <v>0.5</v>
      </c>
      <c r="G385" s="100">
        <v>1</v>
      </c>
      <c r="H385" s="103">
        <f>G385*F385*E385</f>
        <v>0.5</v>
      </c>
    </row>
    <row r="386" spans="2:8">
      <c r="B386" s="66"/>
      <c r="C386" s="164" t="s">
        <v>68</v>
      </c>
      <c r="D386" s="54"/>
      <c r="E386" s="85">
        <v>0.8</v>
      </c>
      <c r="F386" s="43">
        <v>1.5</v>
      </c>
      <c r="G386" s="100">
        <v>1</v>
      </c>
      <c r="H386" s="103">
        <f>G386*F386*E386</f>
        <v>1.2000000000000002</v>
      </c>
    </row>
    <row r="387" spans="2:8">
      <c r="B387" s="293" t="s">
        <v>72</v>
      </c>
      <c r="C387" s="294"/>
      <c r="D387" s="294"/>
      <c r="E387" s="294"/>
      <c r="F387" s="294"/>
      <c r="G387" s="296"/>
      <c r="H387" s="103">
        <f>H384-H385-H386</f>
        <v>11.170000000000002</v>
      </c>
    </row>
    <row r="388" spans="2:8">
      <c r="B388" s="153" t="s">
        <v>238</v>
      </c>
      <c r="C388" s="149" t="s">
        <v>326</v>
      </c>
      <c r="D388" s="54"/>
      <c r="E388" s="163"/>
      <c r="F388" s="54"/>
      <c r="G388" s="100"/>
      <c r="H388" s="101"/>
    </row>
    <row r="389" spans="2:8">
      <c r="B389" s="66"/>
      <c r="C389" s="24" t="s">
        <v>230</v>
      </c>
      <c r="D389" s="54"/>
      <c r="E389" s="85">
        <f>3.25+3.25+2+2</f>
        <v>10.5</v>
      </c>
      <c r="F389" s="67">
        <v>1.5</v>
      </c>
      <c r="G389" s="102"/>
      <c r="H389" s="103">
        <f>F389*E389</f>
        <v>15.75</v>
      </c>
    </row>
    <row r="390" spans="2:8">
      <c r="B390" s="66"/>
      <c r="C390" s="24" t="s">
        <v>67</v>
      </c>
      <c r="D390" s="54"/>
      <c r="E390" s="85">
        <v>1</v>
      </c>
      <c r="F390" s="43">
        <v>0.5</v>
      </c>
      <c r="G390" s="100">
        <v>1</v>
      </c>
      <c r="H390" s="103">
        <f>G390*F390*E390</f>
        <v>0.5</v>
      </c>
    </row>
    <row r="391" spans="2:8">
      <c r="B391" s="66"/>
      <c r="C391" s="164" t="s">
        <v>68</v>
      </c>
      <c r="D391" s="54"/>
      <c r="E391" s="85">
        <v>0.8</v>
      </c>
      <c r="F391" s="43">
        <v>1.5</v>
      </c>
      <c r="G391" s="100">
        <v>1</v>
      </c>
      <c r="H391" s="103">
        <f>G391*F391*E391</f>
        <v>1.2000000000000002</v>
      </c>
    </row>
    <row r="392" spans="2:8">
      <c r="B392" s="293" t="s">
        <v>72</v>
      </c>
      <c r="C392" s="294"/>
      <c r="D392" s="294"/>
      <c r="E392" s="294"/>
      <c r="F392" s="294"/>
      <c r="G392" s="296"/>
      <c r="H392" s="103">
        <f>H389-H390-H391</f>
        <v>14.05</v>
      </c>
    </row>
    <row r="393" spans="2:8">
      <c r="B393" s="293" t="s">
        <v>15</v>
      </c>
      <c r="C393" s="294"/>
      <c r="D393" s="294"/>
      <c r="E393" s="294"/>
      <c r="F393" s="294"/>
      <c r="G393" s="296"/>
      <c r="H393" s="40">
        <f>H270+H387+H382+H377+H392+H372</f>
        <v>78.596000000000004</v>
      </c>
    </row>
    <row r="394" spans="2:8">
      <c r="B394" s="66" t="s">
        <v>172</v>
      </c>
      <c r="C394" s="70" t="s">
        <v>133</v>
      </c>
      <c r="D394" s="54" t="s">
        <v>9</v>
      </c>
      <c r="E394" s="43" t="s">
        <v>10</v>
      </c>
      <c r="F394" s="54" t="s">
        <v>48</v>
      </c>
      <c r="G394" s="100" t="s">
        <v>69</v>
      </c>
      <c r="H394" s="101" t="s">
        <v>11</v>
      </c>
    </row>
    <row r="395" spans="2:8">
      <c r="B395" s="153" t="s">
        <v>239</v>
      </c>
      <c r="C395" s="149" t="s">
        <v>88</v>
      </c>
      <c r="D395" s="54"/>
      <c r="E395" s="71"/>
      <c r="F395" s="41"/>
      <c r="G395" s="102"/>
      <c r="H395" s="101"/>
    </row>
    <row r="396" spans="2:8">
      <c r="B396" s="66"/>
      <c r="C396" s="24" t="s">
        <v>134</v>
      </c>
      <c r="D396" s="54"/>
      <c r="E396" s="43">
        <f>2*2</f>
        <v>4</v>
      </c>
      <c r="F396" s="43">
        <v>1</v>
      </c>
      <c r="G396" s="102">
        <v>12</v>
      </c>
      <c r="H396" s="103">
        <f>2*2*1*12</f>
        <v>48</v>
      </c>
    </row>
    <row r="397" spans="2:8">
      <c r="B397" s="66"/>
      <c r="C397" s="24" t="s">
        <v>135</v>
      </c>
      <c r="D397" s="54"/>
      <c r="E397" s="43">
        <f>2*1</f>
        <v>2</v>
      </c>
      <c r="F397" s="43">
        <v>2.1</v>
      </c>
      <c r="G397" s="100">
        <v>2</v>
      </c>
      <c r="H397" s="103">
        <f>2*F397*G397</f>
        <v>8.4</v>
      </c>
    </row>
    <row r="398" spans="2:8">
      <c r="B398" s="66"/>
      <c r="C398" s="24" t="s">
        <v>136</v>
      </c>
      <c r="D398" s="54"/>
      <c r="E398" s="43">
        <f>2.1+1+2.1</f>
        <v>5.2</v>
      </c>
      <c r="F398" s="43">
        <v>0.17</v>
      </c>
      <c r="G398" s="100">
        <v>2</v>
      </c>
      <c r="H398" s="103">
        <f>(2.1+1+2.1)*F398*G398</f>
        <v>1.7680000000000002</v>
      </c>
    </row>
    <row r="399" spans="2:8">
      <c r="B399" s="66"/>
      <c r="C399" s="24" t="s">
        <v>137</v>
      </c>
      <c r="D399" s="54"/>
      <c r="E399" s="43">
        <f>2*0.8</f>
        <v>1.6</v>
      </c>
      <c r="F399" s="43">
        <v>2.1</v>
      </c>
      <c r="G399" s="100">
        <v>1</v>
      </c>
      <c r="H399" s="103">
        <f>2*0.8*2.1*1</f>
        <v>3.3600000000000003</v>
      </c>
    </row>
    <row r="400" spans="2:8">
      <c r="B400" s="66"/>
      <c r="C400" s="24" t="s">
        <v>138</v>
      </c>
      <c r="D400" s="54"/>
      <c r="E400" s="43">
        <f>2.1+0.8+2.1</f>
        <v>5</v>
      </c>
      <c r="F400" s="43">
        <v>0.17</v>
      </c>
      <c r="G400" s="100">
        <v>1</v>
      </c>
      <c r="H400" s="103">
        <f>(2.1+0.8+2.1)*F400*G400</f>
        <v>0.85000000000000009</v>
      </c>
    </row>
    <row r="401" spans="2:8">
      <c r="B401" s="153" t="s">
        <v>240</v>
      </c>
      <c r="C401" s="149" t="s">
        <v>327</v>
      </c>
      <c r="D401" s="54"/>
      <c r="E401" s="43"/>
      <c r="F401" s="43"/>
      <c r="G401" s="100"/>
      <c r="H401" s="103"/>
    </row>
    <row r="402" spans="2:8">
      <c r="B402" s="66"/>
      <c r="C402" s="24" t="s">
        <v>241</v>
      </c>
      <c r="D402" s="54"/>
      <c r="E402" s="43">
        <f>2*1</f>
        <v>2</v>
      </c>
      <c r="F402" s="43">
        <v>0.5</v>
      </c>
      <c r="G402" s="100">
        <v>1</v>
      </c>
      <c r="H402" s="103">
        <f>2*G402*F402</f>
        <v>1</v>
      </c>
    </row>
    <row r="403" spans="2:8">
      <c r="B403" s="172"/>
      <c r="C403" s="87" t="s">
        <v>137</v>
      </c>
      <c r="D403" s="104"/>
      <c r="E403" s="89">
        <f>2*0.8</f>
        <v>1.6</v>
      </c>
      <c r="F403" s="89">
        <v>2.1</v>
      </c>
      <c r="G403" s="105">
        <v>1</v>
      </c>
      <c r="H403" s="106">
        <f>2*0.8*2.1</f>
        <v>3.3600000000000003</v>
      </c>
    </row>
    <row r="404" spans="2:8">
      <c r="B404" s="66"/>
      <c r="C404" s="24" t="s">
        <v>138</v>
      </c>
      <c r="D404" s="54"/>
      <c r="E404" s="43">
        <f>2.1+0.8+2.1</f>
        <v>5</v>
      </c>
      <c r="F404" s="43">
        <v>0.17</v>
      </c>
      <c r="G404" s="100">
        <v>1</v>
      </c>
      <c r="H404" s="103">
        <f>(2.1+0.8+2.1)*F404*G404</f>
        <v>0.85000000000000009</v>
      </c>
    </row>
    <row r="405" spans="2:8">
      <c r="B405" s="153" t="s">
        <v>242</v>
      </c>
      <c r="C405" s="149" t="s">
        <v>328</v>
      </c>
      <c r="D405" s="54"/>
      <c r="E405" s="43"/>
      <c r="F405" s="43"/>
      <c r="G405" s="100"/>
      <c r="H405" s="103"/>
    </row>
    <row r="406" spans="2:8">
      <c r="B406" s="66"/>
      <c r="C406" s="24" t="s">
        <v>241</v>
      </c>
      <c r="D406" s="54"/>
      <c r="E406" s="43">
        <f>2*1</f>
        <v>2</v>
      </c>
      <c r="F406" s="43">
        <v>0.5</v>
      </c>
      <c r="G406" s="100">
        <v>1</v>
      </c>
      <c r="H406" s="103">
        <f>2*G406*F406</f>
        <v>1</v>
      </c>
    </row>
    <row r="407" spans="2:8">
      <c r="B407" s="172"/>
      <c r="C407" s="87" t="s">
        <v>137</v>
      </c>
      <c r="D407" s="104"/>
      <c r="E407" s="89">
        <f>2*0.8</f>
        <v>1.6</v>
      </c>
      <c r="F407" s="89">
        <v>2.1</v>
      </c>
      <c r="G407" s="105">
        <v>1</v>
      </c>
      <c r="H407" s="106">
        <f>2*0.8*2.1</f>
        <v>3.3600000000000003</v>
      </c>
    </row>
    <row r="408" spans="2:8">
      <c r="B408" s="66"/>
      <c r="C408" s="24" t="s">
        <v>138</v>
      </c>
      <c r="D408" s="54"/>
      <c r="E408" s="43">
        <f>2.1+0.8+2.1</f>
        <v>5</v>
      </c>
      <c r="F408" s="43">
        <v>0.17</v>
      </c>
      <c r="G408" s="100">
        <v>1</v>
      </c>
      <c r="H408" s="103">
        <f>(2.1+0.8+2.1)*F408*G408</f>
        <v>0.85000000000000009</v>
      </c>
    </row>
    <row r="409" spans="2:8">
      <c r="B409" s="153" t="s">
        <v>243</v>
      </c>
      <c r="C409" s="149" t="s">
        <v>47</v>
      </c>
      <c r="D409" s="54"/>
      <c r="E409" s="43"/>
      <c r="F409" s="43"/>
      <c r="G409" s="100"/>
      <c r="H409" s="103"/>
    </row>
    <row r="410" spans="2:8">
      <c r="B410" s="66"/>
      <c r="C410" s="24" t="s">
        <v>241</v>
      </c>
      <c r="D410" s="54"/>
      <c r="E410" s="43">
        <f>2*1</f>
        <v>2</v>
      </c>
      <c r="F410" s="43">
        <v>1</v>
      </c>
      <c r="G410" s="100">
        <v>1</v>
      </c>
      <c r="H410" s="103">
        <f t="shared" ref="H410" si="14">2*G410*F410</f>
        <v>2</v>
      </c>
    </row>
    <row r="411" spans="2:8">
      <c r="B411" s="153" t="s">
        <v>244</v>
      </c>
      <c r="C411" s="149" t="s">
        <v>326</v>
      </c>
      <c r="D411" s="54"/>
      <c r="E411" s="43"/>
      <c r="F411" s="43"/>
      <c r="G411" s="100"/>
      <c r="H411" s="103"/>
    </row>
    <row r="412" spans="2:8">
      <c r="B412" s="66"/>
      <c r="C412" s="24" t="s">
        <v>139</v>
      </c>
      <c r="D412" s="54"/>
      <c r="E412" s="43">
        <f>2*1</f>
        <v>2</v>
      </c>
      <c r="F412" s="43">
        <v>1</v>
      </c>
      <c r="G412" s="100">
        <v>1</v>
      </c>
      <c r="H412" s="103">
        <f t="shared" ref="H412" si="15">2*G412*F412</f>
        <v>2</v>
      </c>
    </row>
    <row r="413" spans="2:8">
      <c r="B413" s="172"/>
      <c r="C413" s="87" t="s">
        <v>137</v>
      </c>
      <c r="D413" s="104"/>
      <c r="E413" s="89">
        <f>2*0.8</f>
        <v>1.6</v>
      </c>
      <c r="F413" s="89">
        <v>2.1</v>
      </c>
      <c r="G413" s="105">
        <v>1</v>
      </c>
      <c r="H413" s="106">
        <f>2*0.8*2.1</f>
        <v>3.3600000000000003</v>
      </c>
    </row>
    <row r="414" spans="2:8">
      <c r="B414" s="66"/>
      <c r="C414" s="24" t="s">
        <v>138</v>
      </c>
      <c r="D414" s="54"/>
      <c r="E414" s="43">
        <f>2.1+0.8+2.1</f>
        <v>5</v>
      </c>
      <c r="F414" s="43">
        <v>0.17</v>
      </c>
      <c r="G414" s="100">
        <v>1</v>
      </c>
      <c r="H414" s="103">
        <f>(2.1+0.8+2.1)*F414*G414</f>
        <v>0.85000000000000009</v>
      </c>
    </row>
    <row r="415" spans="2:8" ht="13.5" thickBot="1">
      <c r="B415" s="293" t="s">
        <v>15</v>
      </c>
      <c r="C415" s="294"/>
      <c r="D415" s="294"/>
      <c r="E415" s="294"/>
      <c r="F415" s="294"/>
      <c r="G415" s="296"/>
      <c r="H415" s="40">
        <f>SUM(H412:H414,H410,H406:H408,H402:H404,H396:H400)</f>
        <v>81.007999999999996</v>
      </c>
    </row>
    <row r="416" spans="2:8" ht="13.5" thickBot="1">
      <c r="B416" s="334" t="s">
        <v>37</v>
      </c>
      <c r="C416" s="335"/>
      <c r="D416" s="335"/>
      <c r="E416" s="335"/>
      <c r="F416" s="335"/>
      <c r="G416" s="335"/>
      <c r="H416" s="336"/>
    </row>
    <row r="417" spans="2:8">
      <c r="B417" s="49">
        <v>8</v>
      </c>
      <c r="C417" s="337" t="s">
        <v>38</v>
      </c>
      <c r="D417" s="338"/>
      <c r="E417" s="338"/>
      <c r="F417" s="338"/>
      <c r="G417" s="338"/>
      <c r="H417" s="339"/>
    </row>
    <row r="418" spans="2:8">
      <c r="B418" s="7" t="s">
        <v>151</v>
      </c>
      <c r="C418" s="24" t="s">
        <v>49</v>
      </c>
      <c r="D418" s="4" t="s">
        <v>9</v>
      </c>
      <c r="E418" s="282">
        <v>187.83</v>
      </c>
      <c r="F418" s="340"/>
      <c r="G418" s="340"/>
      <c r="H418" s="341"/>
    </row>
    <row r="419" spans="2:8">
      <c r="B419" s="7" t="s">
        <v>152</v>
      </c>
      <c r="C419" s="90" t="s">
        <v>148</v>
      </c>
      <c r="D419" s="4" t="s">
        <v>9</v>
      </c>
      <c r="E419" s="175" t="s">
        <v>10</v>
      </c>
      <c r="F419" s="282" t="s">
        <v>90</v>
      </c>
      <c r="G419" s="283"/>
      <c r="H419" s="173" t="s">
        <v>11</v>
      </c>
    </row>
    <row r="420" spans="2:8">
      <c r="B420" s="174" t="s">
        <v>245</v>
      </c>
      <c r="C420" s="149" t="s">
        <v>88</v>
      </c>
      <c r="D420" s="9"/>
      <c r="E420" s="282"/>
      <c r="F420" s="340"/>
      <c r="G420" s="340"/>
      <c r="H420" s="341"/>
    </row>
    <row r="421" spans="2:8">
      <c r="B421" s="7"/>
      <c r="C421" s="63" t="s">
        <v>149</v>
      </c>
      <c r="D421" s="9"/>
      <c r="E421" s="175">
        <v>7.18</v>
      </c>
      <c r="F421" s="292">
        <v>16.600000000000001</v>
      </c>
      <c r="G421" s="292"/>
      <c r="H421" s="173">
        <f>F421*E421</f>
        <v>119.188</v>
      </c>
    </row>
    <row r="422" spans="2:8">
      <c r="B422" s="174" t="s">
        <v>246</v>
      </c>
      <c r="C422" s="149" t="s">
        <v>326</v>
      </c>
      <c r="D422" s="9"/>
      <c r="E422" s="175"/>
      <c r="F422" s="292"/>
      <c r="G422" s="292"/>
      <c r="H422" s="173"/>
    </row>
    <row r="423" spans="2:8">
      <c r="B423" s="7"/>
      <c r="C423" s="63" t="s">
        <v>149</v>
      </c>
      <c r="D423" s="9"/>
      <c r="E423" s="175">
        <v>2</v>
      </c>
      <c r="F423" s="292">
        <v>3.25</v>
      </c>
      <c r="G423" s="292"/>
      <c r="H423" s="173">
        <f t="shared" ref="H423:H433" si="16">F423*E423</f>
        <v>6.5</v>
      </c>
    </row>
    <row r="424" spans="2:8">
      <c r="B424" s="174" t="s">
        <v>247</v>
      </c>
      <c r="C424" s="149" t="s">
        <v>47</v>
      </c>
      <c r="D424" s="9"/>
      <c r="E424" s="175"/>
      <c r="F424" s="292"/>
      <c r="G424" s="292"/>
      <c r="H424" s="173"/>
    </row>
    <row r="425" spans="2:8">
      <c r="B425" s="7"/>
      <c r="C425" s="63" t="s">
        <v>149</v>
      </c>
      <c r="D425" s="9"/>
      <c r="E425" s="175">
        <v>1.78</v>
      </c>
      <c r="F425" s="292">
        <v>3.4</v>
      </c>
      <c r="G425" s="292"/>
      <c r="H425" s="173">
        <f t="shared" si="16"/>
        <v>6.0519999999999996</v>
      </c>
    </row>
    <row r="426" spans="2:8">
      <c r="B426" s="174" t="s">
        <v>248</v>
      </c>
      <c r="C426" s="149" t="s">
        <v>328</v>
      </c>
      <c r="D426" s="9"/>
      <c r="E426" s="175"/>
      <c r="F426" s="292"/>
      <c r="G426" s="292"/>
      <c r="H426" s="173"/>
    </row>
    <row r="427" spans="2:8">
      <c r="B427" s="7"/>
      <c r="C427" s="63" t="s">
        <v>149</v>
      </c>
      <c r="D427" s="9"/>
      <c r="E427" s="175">
        <v>1.5</v>
      </c>
      <c r="F427" s="292">
        <v>3.1</v>
      </c>
      <c r="G427" s="292"/>
      <c r="H427" s="173">
        <f t="shared" si="16"/>
        <v>4.6500000000000004</v>
      </c>
    </row>
    <row r="428" spans="2:8">
      <c r="B428" s="7"/>
      <c r="C428" s="63" t="s">
        <v>249</v>
      </c>
      <c r="D428" s="9"/>
      <c r="E428" s="175">
        <f>1.5+0.7+1.95+1.95</f>
        <v>6.1000000000000005</v>
      </c>
      <c r="F428" s="292">
        <v>1.6</v>
      </c>
      <c r="G428" s="292"/>
      <c r="H428" s="173">
        <f t="shared" si="16"/>
        <v>9.7600000000000016</v>
      </c>
    </row>
    <row r="429" spans="2:8">
      <c r="B429" s="174" t="s">
        <v>250</v>
      </c>
      <c r="C429" s="149" t="s">
        <v>327</v>
      </c>
      <c r="D429" s="9"/>
      <c r="E429" s="175"/>
      <c r="F429" s="292"/>
      <c r="G429" s="292"/>
      <c r="H429" s="173"/>
    </row>
    <row r="430" spans="2:8">
      <c r="B430" s="7"/>
      <c r="C430" s="63" t="s">
        <v>149</v>
      </c>
      <c r="D430" s="9"/>
      <c r="E430" s="175">
        <v>1.45</v>
      </c>
      <c r="F430" s="292">
        <v>3.1</v>
      </c>
      <c r="G430" s="292"/>
      <c r="H430" s="173">
        <f t="shared" si="16"/>
        <v>4.4950000000000001</v>
      </c>
    </row>
    <row r="431" spans="2:8">
      <c r="B431" s="7"/>
      <c r="C431" s="63" t="s">
        <v>251</v>
      </c>
      <c r="D431" s="9"/>
      <c r="E431" s="175">
        <f>(1.95+1.95+1.45+0.65)</f>
        <v>6</v>
      </c>
      <c r="F431" s="292">
        <v>1.6</v>
      </c>
      <c r="G431" s="292"/>
      <c r="H431" s="173">
        <f t="shared" si="16"/>
        <v>9.6000000000000014</v>
      </c>
    </row>
    <row r="432" spans="2:8">
      <c r="B432" s="176" t="s">
        <v>252</v>
      </c>
      <c r="C432" s="63" t="s">
        <v>206</v>
      </c>
      <c r="D432" s="9"/>
      <c r="E432" s="175"/>
      <c r="F432" s="292"/>
      <c r="G432" s="292"/>
      <c r="H432" s="173"/>
    </row>
    <row r="433" spans="2:12">
      <c r="B433" s="177"/>
      <c r="C433" s="63" t="s">
        <v>149</v>
      </c>
      <c r="D433" s="9"/>
      <c r="E433" s="175">
        <v>7.18</v>
      </c>
      <c r="F433" s="292">
        <v>0.8</v>
      </c>
      <c r="G433" s="292"/>
      <c r="H433" s="173">
        <f t="shared" si="16"/>
        <v>5.7439999999999998</v>
      </c>
    </row>
    <row r="434" spans="2:12" ht="15">
      <c r="B434" s="293" t="s">
        <v>15</v>
      </c>
      <c r="C434" s="294"/>
      <c r="D434" s="295"/>
      <c r="E434" s="294"/>
      <c r="F434" s="294"/>
      <c r="G434" s="296"/>
      <c r="H434" s="40">
        <f>SUM(H421:H433)</f>
        <v>165.989</v>
      </c>
      <c r="I434"/>
      <c r="J434"/>
      <c r="K434"/>
      <c r="L434"/>
    </row>
    <row r="435" spans="2:12" ht="15.75" thickBot="1">
      <c r="B435" s="7" t="s">
        <v>173</v>
      </c>
      <c r="C435" s="179" t="s">
        <v>43</v>
      </c>
      <c r="D435" s="4" t="s">
        <v>53</v>
      </c>
      <c r="E435" s="297">
        <v>1</v>
      </c>
      <c r="F435" s="297"/>
      <c r="G435" s="297"/>
      <c r="H435" s="298"/>
      <c r="I435"/>
      <c r="J435"/>
      <c r="K435"/>
      <c r="L435"/>
    </row>
    <row r="436" spans="2:12" ht="15.75" thickBot="1">
      <c r="B436" s="317" t="s">
        <v>200</v>
      </c>
      <c r="C436" s="318"/>
      <c r="D436" s="318"/>
      <c r="E436" s="318"/>
      <c r="F436" s="318"/>
      <c r="G436" s="318"/>
      <c r="H436" s="319"/>
      <c r="I436"/>
      <c r="J436"/>
      <c r="K436"/>
      <c r="L436"/>
    </row>
    <row r="437" spans="2:12" ht="13.5" customHeight="1" thickBot="1">
      <c r="B437" s="320" t="s">
        <v>199</v>
      </c>
      <c r="C437" s="321"/>
      <c r="D437" s="321"/>
      <c r="E437" s="321"/>
      <c r="F437" s="321"/>
      <c r="G437" s="321"/>
      <c r="H437" s="321"/>
      <c r="I437"/>
      <c r="J437"/>
      <c r="K437"/>
      <c r="L437"/>
    </row>
    <row r="438" spans="2:12" ht="13.5" customHeight="1" thickBot="1">
      <c r="B438" s="246" t="s">
        <v>3</v>
      </c>
      <c r="C438" s="247" t="s">
        <v>4</v>
      </c>
      <c r="D438" s="248" t="s">
        <v>5</v>
      </c>
      <c r="E438" s="299" t="s">
        <v>6</v>
      </c>
      <c r="F438" s="300"/>
      <c r="G438" s="300"/>
      <c r="H438" s="301"/>
      <c r="I438"/>
      <c r="J438"/>
      <c r="K438"/>
      <c r="L438"/>
    </row>
    <row r="439" spans="2:12" ht="15.75" thickBot="1">
      <c r="B439" s="302" t="s">
        <v>177</v>
      </c>
      <c r="C439" s="303"/>
      <c r="D439" s="303"/>
      <c r="E439" s="303"/>
      <c r="F439" s="303"/>
      <c r="G439" s="303"/>
      <c r="H439" s="304"/>
      <c r="I439"/>
      <c r="J439"/>
      <c r="K439"/>
      <c r="L439"/>
    </row>
    <row r="440" spans="2:12" ht="15">
      <c r="B440" s="249">
        <v>1</v>
      </c>
      <c r="C440" s="305" t="s">
        <v>8</v>
      </c>
      <c r="D440" s="305"/>
      <c r="E440" s="305"/>
      <c r="F440" s="305"/>
      <c r="G440" s="305"/>
      <c r="H440" s="305"/>
      <c r="I440"/>
      <c r="J440"/>
      <c r="K440"/>
      <c r="L440"/>
    </row>
    <row r="441" spans="2:12" ht="26.25">
      <c r="B441" s="186" t="s">
        <v>12</v>
      </c>
      <c r="C441" s="187" t="s">
        <v>253</v>
      </c>
      <c r="D441" s="4" t="s">
        <v>9</v>
      </c>
      <c r="E441" s="287"/>
      <c r="F441" s="309"/>
      <c r="G441" s="309"/>
      <c r="H441" s="288"/>
      <c r="I441"/>
      <c r="J441"/>
      <c r="K441"/>
      <c r="L441"/>
    </row>
    <row r="442" spans="2:12" ht="15">
      <c r="B442" s="181" t="s">
        <v>346</v>
      </c>
      <c r="C442" s="187" t="s">
        <v>202</v>
      </c>
      <c r="D442" s="4"/>
      <c r="E442" s="287" t="s">
        <v>262</v>
      </c>
      <c r="F442" s="309"/>
      <c r="G442" s="309"/>
      <c r="H442" s="288"/>
      <c r="I442"/>
      <c r="J442"/>
      <c r="K442"/>
      <c r="L442"/>
    </row>
    <row r="443" spans="2:12" ht="15">
      <c r="B443" s="291" t="s">
        <v>15</v>
      </c>
      <c r="C443" s="291"/>
      <c r="D443" s="291"/>
      <c r="E443" s="291"/>
      <c r="F443" s="291"/>
      <c r="G443" s="291"/>
      <c r="H443" s="250">
        <v>31.625</v>
      </c>
      <c r="I443"/>
      <c r="J443"/>
      <c r="K443"/>
      <c r="L443"/>
    </row>
    <row r="444" spans="2:12" ht="15">
      <c r="B444" s="258" t="s">
        <v>13</v>
      </c>
      <c r="C444" s="137" t="s">
        <v>394</v>
      </c>
      <c r="D444" s="132" t="s">
        <v>30</v>
      </c>
      <c r="E444" s="258" t="s">
        <v>89</v>
      </c>
      <c r="F444" s="258" t="s">
        <v>90</v>
      </c>
      <c r="G444" s="287" t="s">
        <v>11</v>
      </c>
      <c r="H444" s="288"/>
      <c r="I444"/>
      <c r="J444"/>
      <c r="K444"/>
      <c r="L444"/>
    </row>
    <row r="445" spans="2:12" ht="15">
      <c r="B445" s="191" t="s">
        <v>395</v>
      </c>
      <c r="C445" s="5" t="s">
        <v>397</v>
      </c>
      <c r="D445" s="206"/>
      <c r="E445" s="193">
        <f>5.4+5.4</f>
        <v>10.8</v>
      </c>
      <c r="F445" s="193">
        <v>0.2</v>
      </c>
      <c r="G445" s="289">
        <f>E445*F445</f>
        <v>2.16</v>
      </c>
      <c r="H445" s="290"/>
      <c r="I445"/>
      <c r="J445"/>
      <c r="K445"/>
      <c r="L445"/>
    </row>
    <row r="446" spans="2:12" ht="15">
      <c r="B446" s="191" t="s">
        <v>396</v>
      </c>
      <c r="C446" s="5" t="s">
        <v>398</v>
      </c>
      <c r="D446" s="206"/>
      <c r="E446" s="193">
        <f>6.9+6.9</f>
        <v>13.8</v>
      </c>
      <c r="F446" s="193">
        <v>0.2</v>
      </c>
      <c r="G446" s="289">
        <f>E446*F446</f>
        <v>2.7600000000000002</v>
      </c>
      <c r="H446" s="290"/>
      <c r="I446"/>
      <c r="J446"/>
      <c r="K446"/>
      <c r="L446"/>
    </row>
    <row r="447" spans="2:12" ht="15.75" thickBot="1">
      <c r="B447" s="291" t="s">
        <v>15</v>
      </c>
      <c r="C447" s="291"/>
      <c r="D447" s="291"/>
      <c r="E447" s="291"/>
      <c r="F447" s="291"/>
      <c r="G447" s="291"/>
      <c r="H447" s="250">
        <f>G445+G446</f>
        <v>4.92</v>
      </c>
      <c r="I447"/>
      <c r="J447"/>
      <c r="K447"/>
      <c r="L447"/>
    </row>
    <row r="448" spans="2:12" ht="15.75" thickBot="1">
      <c r="B448" s="302" t="s">
        <v>180</v>
      </c>
      <c r="C448" s="303"/>
      <c r="D448" s="303"/>
      <c r="E448" s="303"/>
      <c r="F448" s="303"/>
      <c r="G448" s="303"/>
      <c r="H448" s="304"/>
      <c r="I448"/>
      <c r="J448"/>
      <c r="K448"/>
      <c r="L448"/>
    </row>
    <row r="449" spans="2:8">
      <c r="B449" s="251">
        <v>2</v>
      </c>
      <c r="C449" s="99" t="s">
        <v>17</v>
      </c>
      <c r="D449" s="241"/>
      <c r="E449" s="313"/>
      <c r="F449" s="314"/>
      <c r="G449" s="314"/>
      <c r="H449" s="315"/>
    </row>
    <row r="450" spans="2:8">
      <c r="B450" s="57" t="s">
        <v>18</v>
      </c>
      <c r="C450" s="83" t="s">
        <v>181</v>
      </c>
      <c r="D450" s="38" t="s">
        <v>93</v>
      </c>
      <c r="E450" s="310" t="s">
        <v>94</v>
      </c>
      <c r="F450" s="311"/>
      <c r="G450" s="311"/>
      <c r="H450" s="312"/>
    </row>
    <row r="451" spans="2:8" ht="15" customHeight="1" thickBot="1">
      <c r="B451" s="291" t="s">
        <v>15</v>
      </c>
      <c r="C451" s="291"/>
      <c r="D451" s="291"/>
      <c r="E451" s="291"/>
      <c r="F451" s="291"/>
      <c r="G451" s="291"/>
      <c r="H451" s="250">
        <f>4</f>
        <v>4</v>
      </c>
    </row>
    <row r="452" spans="2:8" ht="13.5" thickBot="1">
      <c r="B452" s="322" t="s">
        <v>182</v>
      </c>
      <c r="C452" s="323"/>
      <c r="D452" s="323"/>
      <c r="E452" s="323"/>
      <c r="F452" s="323"/>
      <c r="G452" s="323"/>
      <c r="H452" s="324"/>
    </row>
    <row r="453" spans="2:8">
      <c r="B453" s="249">
        <v>3</v>
      </c>
      <c r="C453" s="305" t="s">
        <v>183</v>
      </c>
      <c r="D453" s="305"/>
      <c r="E453" s="305"/>
      <c r="F453" s="305"/>
      <c r="G453" s="305"/>
      <c r="H453" s="305"/>
    </row>
    <row r="454" spans="2:8">
      <c r="B454" s="186" t="s">
        <v>58</v>
      </c>
      <c r="C454" s="83" t="s">
        <v>184</v>
      </c>
      <c r="D454" s="4" t="s">
        <v>254</v>
      </c>
      <c r="E454" s="306" t="s">
        <v>11</v>
      </c>
      <c r="F454" s="307"/>
      <c r="G454" s="307"/>
      <c r="H454" s="308"/>
    </row>
    <row r="455" spans="2:8" ht="15" customHeight="1">
      <c r="B455" s="181" t="s">
        <v>203</v>
      </c>
      <c r="C455" s="83" t="s">
        <v>327</v>
      </c>
      <c r="D455" s="4"/>
      <c r="E455" s="306">
        <v>1</v>
      </c>
      <c r="F455" s="307"/>
      <c r="G455" s="307"/>
      <c r="H455" s="308"/>
    </row>
    <row r="456" spans="2:8" ht="15" customHeight="1">
      <c r="B456" s="181" t="s">
        <v>204</v>
      </c>
      <c r="C456" s="83" t="s">
        <v>328</v>
      </c>
      <c r="D456" s="4"/>
      <c r="E456" s="306">
        <v>1</v>
      </c>
      <c r="F456" s="307"/>
      <c r="G456" s="307"/>
      <c r="H456" s="308"/>
    </row>
    <row r="457" spans="2:8" ht="15" customHeight="1">
      <c r="B457" s="316" t="s">
        <v>15</v>
      </c>
      <c r="C457" s="316"/>
      <c r="D457" s="316"/>
      <c r="E457" s="316"/>
      <c r="F457" s="316"/>
      <c r="G457" s="316"/>
      <c r="H457" s="175">
        <f>E455+E456</f>
        <v>2</v>
      </c>
    </row>
    <row r="458" spans="2:8">
      <c r="B458" s="185">
        <v>4</v>
      </c>
      <c r="C458" s="325" t="s">
        <v>185</v>
      </c>
      <c r="D458" s="325"/>
      <c r="E458" s="325"/>
      <c r="F458" s="325"/>
      <c r="G458" s="325"/>
      <c r="H458" s="325"/>
    </row>
    <row r="459" spans="2:8">
      <c r="B459" s="186" t="s">
        <v>41</v>
      </c>
      <c r="C459" s="83" t="s">
        <v>186</v>
      </c>
      <c r="D459" s="4" t="s">
        <v>254</v>
      </c>
      <c r="E459" s="306" t="s">
        <v>11</v>
      </c>
      <c r="F459" s="307"/>
      <c r="G459" s="307"/>
      <c r="H459" s="308"/>
    </row>
    <row r="460" spans="2:8" ht="15" customHeight="1">
      <c r="B460" s="181" t="s">
        <v>352</v>
      </c>
      <c r="C460" s="83" t="s">
        <v>202</v>
      </c>
      <c r="D460" s="4"/>
      <c r="E460" s="306">
        <v>1</v>
      </c>
      <c r="F460" s="307"/>
      <c r="G460" s="307"/>
      <c r="H460" s="308"/>
    </row>
    <row r="461" spans="2:8" ht="15" customHeight="1" thickBot="1">
      <c r="B461" s="291" t="s">
        <v>15</v>
      </c>
      <c r="C461" s="291"/>
      <c r="D461" s="291"/>
      <c r="E461" s="291"/>
      <c r="F461" s="291"/>
      <c r="G461" s="291"/>
      <c r="H461" s="250">
        <v>1</v>
      </c>
    </row>
    <row r="462" spans="2:8" ht="15" customHeight="1" thickBot="1">
      <c r="B462" s="322" t="s">
        <v>320</v>
      </c>
      <c r="C462" s="323"/>
      <c r="D462" s="323"/>
      <c r="E462" s="323"/>
      <c r="F462" s="323"/>
      <c r="G462" s="323"/>
      <c r="H462" s="324"/>
    </row>
    <row r="463" spans="2:8" ht="15" customHeight="1">
      <c r="B463" s="273">
        <v>5</v>
      </c>
      <c r="C463" s="269" t="s">
        <v>329</v>
      </c>
      <c r="D463" s="284"/>
      <c r="E463" s="285"/>
      <c r="F463" s="285"/>
      <c r="G463" s="285"/>
      <c r="H463" s="286"/>
    </row>
    <row r="464" spans="2:8" ht="15" customHeight="1">
      <c r="B464" s="271" t="s">
        <v>54</v>
      </c>
      <c r="C464" s="256" t="s">
        <v>323</v>
      </c>
      <c r="D464" s="257" t="s">
        <v>30</v>
      </c>
      <c r="E464" s="287" t="s">
        <v>10</v>
      </c>
      <c r="F464" s="309"/>
      <c r="G464" s="421" t="s">
        <v>90</v>
      </c>
      <c r="H464" s="421"/>
    </row>
    <row r="465" spans="2:8" ht="15" customHeight="1">
      <c r="B465" s="277"/>
      <c r="C465" s="278"/>
      <c r="D465" s="279"/>
      <c r="E465" s="429">
        <v>3</v>
      </c>
      <c r="F465" s="429"/>
      <c r="G465" s="282">
        <v>2</v>
      </c>
      <c r="H465" s="283"/>
    </row>
    <row r="466" spans="2:8" ht="15" customHeight="1">
      <c r="B466" s="291" t="s">
        <v>15</v>
      </c>
      <c r="C466" s="291"/>
      <c r="D466" s="291"/>
      <c r="E466" s="291"/>
      <c r="F466" s="291"/>
      <c r="G466" s="291"/>
      <c r="H466" s="250">
        <f>3*2</f>
        <v>6</v>
      </c>
    </row>
    <row r="467" spans="2:8" ht="15" customHeight="1">
      <c r="B467" s="4" t="s">
        <v>353</v>
      </c>
      <c r="C467" s="94" t="s">
        <v>321</v>
      </c>
      <c r="D467" s="92" t="s">
        <v>319</v>
      </c>
      <c r="E467" s="421" t="s">
        <v>324</v>
      </c>
      <c r="F467" s="421"/>
      <c r="G467" s="421"/>
      <c r="H467" s="421"/>
    </row>
    <row r="468" spans="2:8" ht="15" customHeight="1">
      <c r="B468" s="316" t="s">
        <v>15</v>
      </c>
      <c r="C468" s="316"/>
      <c r="D468" s="316"/>
      <c r="E468" s="316"/>
      <c r="F468" s="316"/>
      <c r="G468" s="316"/>
      <c r="H468" s="175">
        <f>5.4+5.4</f>
        <v>10.8</v>
      </c>
    </row>
    <row r="469" spans="2:8" ht="15" customHeight="1">
      <c r="B469" s="4" t="s">
        <v>354</v>
      </c>
      <c r="C469" s="94" t="s">
        <v>322</v>
      </c>
      <c r="D469" s="92" t="s">
        <v>319</v>
      </c>
      <c r="E469" s="421" t="s">
        <v>325</v>
      </c>
      <c r="F469" s="421"/>
      <c r="G469" s="421"/>
      <c r="H469" s="421"/>
    </row>
    <row r="470" spans="2:8" ht="15" customHeight="1" thickBot="1">
      <c r="B470" s="291" t="s">
        <v>15</v>
      </c>
      <c r="C470" s="291"/>
      <c r="D470" s="291"/>
      <c r="E470" s="291"/>
      <c r="F470" s="291"/>
      <c r="G470" s="291"/>
      <c r="H470" s="250">
        <f>6.9+6.9</f>
        <v>13.8</v>
      </c>
    </row>
    <row r="471" spans="2:8" ht="15" customHeight="1" thickBot="1">
      <c r="B471" s="302" t="s">
        <v>188</v>
      </c>
      <c r="C471" s="303"/>
      <c r="D471" s="303"/>
      <c r="E471" s="303"/>
      <c r="F471" s="303"/>
      <c r="G471" s="303"/>
      <c r="H471" s="304"/>
    </row>
    <row r="472" spans="2:8" ht="15" customHeight="1">
      <c r="B472" s="272">
        <v>6</v>
      </c>
      <c r="C472" s="305" t="s">
        <v>255</v>
      </c>
      <c r="D472" s="305"/>
      <c r="E472" s="305"/>
      <c r="F472" s="305"/>
      <c r="G472" s="305"/>
      <c r="H472" s="305"/>
    </row>
    <row r="473" spans="2:8">
      <c r="B473" s="186" t="s">
        <v>20</v>
      </c>
      <c r="C473" s="187" t="s">
        <v>190</v>
      </c>
      <c r="D473" s="4" t="s">
        <v>9</v>
      </c>
      <c r="E473" s="287"/>
      <c r="F473" s="309"/>
      <c r="G473" s="309"/>
      <c r="H473" s="288"/>
    </row>
    <row r="474" spans="2:8">
      <c r="B474" s="186"/>
      <c r="C474" s="187" t="s">
        <v>202</v>
      </c>
      <c r="D474" s="4"/>
      <c r="E474" s="287" t="s">
        <v>262</v>
      </c>
      <c r="F474" s="309"/>
      <c r="G474" s="309"/>
      <c r="H474" s="288"/>
    </row>
    <row r="475" spans="2:8" ht="13.5" thickBot="1">
      <c r="B475" s="291" t="s">
        <v>15</v>
      </c>
      <c r="C475" s="291"/>
      <c r="D475" s="291"/>
      <c r="E475" s="291"/>
      <c r="F475" s="291"/>
      <c r="G475" s="291"/>
      <c r="H475" s="250">
        <v>31.625</v>
      </c>
    </row>
    <row r="476" spans="2:8" ht="13.5" thickBot="1">
      <c r="B476" s="425" t="s">
        <v>191</v>
      </c>
      <c r="C476" s="426"/>
      <c r="D476" s="426"/>
      <c r="E476" s="426"/>
      <c r="F476" s="426"/>
      <c r="G476" s="426"/>
      <c r="H476" s="427"/>
    </row>
    <row r="477" spans="2:8">
      <c r="B477" s="272">
        <v>7</v>
      </c>
      <c r="C477" s="305" t="s">
        <v>34</v>
      </c>
      <c r="D477" s="305"/>
      <c r="E477" s="305"/>
      <c r="F477" s="305"/>
      <c r="G477" s="305"/>
      <c r="H477" s="305"/>
    </row>
    <row r="478" spans="2:8">
      <c r="B478" s="186" t="s">
        <v>21</v>
      </c>
      <c r="C478" s="83" t="s">
        <v>192</v>
      </c>
      <c r="D478" s="4" t="s">
        <v>9</v>
      </c>
      <c r="E478" s="175" t="s">
        <v>89</v>
      </c>
      <c r="F478" s="175" t="s">
        <v>256</v>
      </c>
      <c r="G478" s="175" t="s">
        <v>69</v>
      </c>
      <c r="H478" s="190" t="s">
        <v>11</v>
      </c>
    </row>
    <row r="479" spans="2:8">
      <c r="B479" s="191" t="s">
        <v>219</v>
      </c>
      <c r="C479" s="83" t="s">
        <v>327</v>
      </c>
      <c r="D479" s="192"/>
      <c r="E479" s="428"/>
      <c r="F479" s="428"/>
      <c r="G479" s="175"/>
      <c r="H479" s="175"/>
    </row>
    <row r="480" spans="2:8">
      <c r="B480" s="191"/>
      <c r="C480" s="83" t="s">
        <v>265</v>
      </c>
      <c r="D480" s="192"/>
      <c r="E480" s="190">
        <v>1.25</v>
      </c>
      <c r="F480" s="175">
        <v>1.1000000000000001</v>
      </c>
      <c r="G480" s="175"/>
      <c r="H480" s="175">
        <f>F480*E480</f>
        <v>1.375</v>
      </c>
    </row>
    <row r="481" spans="2:8" ht="15" customHeight="1">
      <c r="B481" s="191" t="s">
        <v>221</v>
      </c>
      <c r="C481" s="83" t="s">
        <v>328</v>
      </c>
      <c r="D481" s="192"/>
      <c r="E481" s="190"/>
      <c r="F481" s="190"/>
      <c r="G481" s="175"/>
      <c r="H481" s="175"/>
    </row>
    <row r="482" spans="2:8" ht="15" customHeight="1">
      <c r="B482" s="191"/>
      <c r="C482" s="83" t="s">
        <v>265</v>
      </c>
      <c r="D482" s="192"/>
      <c r="E482" s="190">
        <v>1.25</v>
      </c>
      <c r="F482" s="175">
        <v>1.1000000000000001</v>
      </c>
      <c r="G482" s="175"/>
      <c r="H482" s="175">
        <f>F482*E482</f>
        <v>1.375</v>
      </c>
    </row>
    <row r="483" spans="2:8" ht="15" customHeight="1">
      <c r="B483" s="191" t="s">
        <v>224</v>
      </c>
      <c r="C483" s="83" t="s">
        <v>202</v>
      </c>
      <c r="D483" s="192"/>
      <c r="E483" s="190"/>
      <c r="F483" s="190"/>
      <c r="G483" s="175"/>
      <c r="H483" s="175"/>
    </row>
    <row r="484" spans="2:8" ht="15" customHeight="1">
      <c r="B484" s="191"/>
      <c r="C484" s="83" t="s">
        <v>257</v>
      </c>
      <c r="D484" s="192"/>
      <c r="E484" s="175">
        <v>2.5</v>
      </c>
      <c r="F484" s="175">
        <v>3</v>
      </c>
      <c r="G484" s="175"/>
      <c r="H484" s="175">
        <f>F484*E484</f>
        <v>7.5</v>
      </c>
    </row>
    <row r="485" spans="2:8" ht="15" customHeight="1">
      <c r="B485" s="192"/>
      <c r="C485" s="5" t="s">
        <v>399</v>
      </c>
      <c r="D485" s="192"/>
      <c r="E485" s="175">
        <v>0.6</v>
      </c>
      <c r="F485" s="175">
        <v>2.1</v>
      </c>
      <c r="G485" s="175">
        <v>1</v>
      </c>
      <c r="H485" s="175">
        <f>F485*E485</f>
        <v>1.26</v>
      </c>
    </row>
    <row r="486" spans="2:8" ht="15" customHeight="1">
      <c r="B486" s="192"/>
      <c r="C486" s="5" t="s">
        <v>400</v>
      </c>
      <c r="D486" s="192"/>
      <c r="E486" s="175">
        <v>0.6</v>
      </c>
      <c r="F486" s="175">
        <v>2.1</v>
      </c>
      <c r="G486" s="175">
        <v>1</v>
      </c>
      <c r="H486" s="175">
        <f>F486*E486</f>
        <v>1.26</v>
      </c>
    </row>
    <row r="487" spans="2:8" ht="15" customHeight="1">
      <c r="B487" s="316" t="s">
        <v>15</v>
      </c>
      <c r="C487" s="316"/>
      <c r="D487" s="316"/>
      <c r="E487" s="316"/>
      <c r="F487" s="316"/>
      <c r="G487" s="316"/>
      <c r="H487" s="194">
        <f>H480+H482+H484-H485-H486</f>
        <v>7.73</v>
      </c>
    </row>
    <row r="488" spans="2:8" ht="15" customHeight="1">
      <c r="B488" s="186" t="s">
        <v>62</v>
      </c>
      <c r="C488" s="281" t="s">
        <v>193</v>
      </c>
      <c r="D488" s="4" t="s">
        <v>9</v>
      </c>
      <c r="E488" s="175" t="s">
        <v>10</v>
      </c>
      <c r="F488" s="175" t="s">
        <v>256</v>
      </c>
      <c r="G488" s="175" t="s">
        <v>69</v>
      </c>
      <c r="H488" s="175" t="s">
        <v>11</v>
      </c>
    </row>
    <row r="489" spans="2:8" ht="15" customHeight="1">
      <c r="B489" s="181" t="s">
        <v>234</v>
      </c>
      <c r="C489" s="83" t="s">
        <v>267</v>
      </c>
      <c r="D489" s="4"/>
      <c r="E489" s="195">
        <f>2*(1.5+3)</f>
        <v>9</v>
      </c>
      <c r="F489" s="195">
        <v>2.1</v>
      </c>
      <c r="G489" s="195"/>
      <c r="H489" s="175">
        <f>F489*E489</f>
        <v>18.900000000000002</v>
      </c>
    </row>
    <row r="490" spans="2:8">
      <c r="B490" s="293" t="s">
        <v>72</v>
      </c>
      <c r="C490" s="294"/>
      <c r="D490" s="294"/>
      <c r="E490" s="294"/>
      <c r="F490" s="294"/>
      <c r="G490" s="296"/>
      <c r="H490" s="195">
        <f>H489</f>
        <v>18.900000000000002</v>
      </c>
    </row>
    <row r="491" spans="2:8" ht="15" customHeight="1">
      <c r="B491" s="181" t="s">
        <v>235</v>
      </c>
      <c r="C491" s="83" t="s">
        <v>268</v>
      </c>
      <c r="D491" s="4"/>
      <c r="E491" s="196">
        <f>(8+5.4+8+0.15+2.5+1+2.5+1.15)</f>
        <v>28.699999999999996</v>
      </c>
      <c r="F491" s="196">
        <v>4.2</v>
      </c>
      <c r="G491" s="196"/>
      <c r="H491" s="175">
        <f>F491*E491</f>
        <v>120.53999999999999</v>
      </c>
    </row>
    <row r="492" spans="2:8" ht="15" customHeight="1">
      <c r="B492" s="192"/>
      <c r="C492" s="5" t="s">
        <v>258</v>
      </c>
      <c r="D492" s="192"/>
      <c r="E492" s="196">
        <v>2</v>
      </c>
      <c r="F492" s="196">
        <v>2.2000000000000002</v>
      </c>
      <c r="G492" s="196">
        <v>1</v>
      </c>
      <c r="H492" s="175">
        <f t="shared" ref="H492:H497" si="17">F492*E492</f>
        <v>4.4000000000000004</v>
      </c>
    </row>
    <row r="493" spans="2:8" ht="15" customHeight="1">
      <c r="B493" s="192"/>
      <c r="C493" s="5" t="s">
        <v>259</v>
      </c>
      <c r="D493" s="192"/>
      <c r="E493" s="196">
        <v>2</v>
      </c>
      <c r="F493" s="196">
        <v>0.4</v>
      </c>
      <c r="G493" s="196">
        <v>1</v>
      </c>
      <c r="H493" s="175">
        <f t="shared" si="17"/>
        <v>0.8</v>
      </c>
    </row>
    <row r="494" spans="2:8" ht="15" customHeight="1">
      <c r="B494" s="186"/>
      <c r="C494" s="197" t="s">
        <v>260</v>
      </c>
      <c r="D494" s="186"/>
      <c r="E494" s="196">
        <v>2</v>
      </c>
      <c r="F494" s="56">
        <v>0.4</v>
      </c>
      <c r="G494" s="196">
        <v>1</v>
      </c>
      <c r="H494" s="175">
        <f t="shared" si="17"/>
        <v>0.8</v>
      </c>
    </row>
    <row r="495" spans="2:8" ht="15" customHeight="1">
      <c r="B495" s="186"/>
      <c r="C495" s="197" t="s">
        <v>260</v>
      </c>
      <c r="D495" s="186"/>
      <c r="E495" s="196">
        <v>2</v>
      </c>
      <c r="F495" s="56">
        <v>0.4</v>
      </c>
      <c r="G495" s="196">
        <v>1</v>
      </c>
      <c r="H495" s="175">
        <f t="shared" si="17"/>
        <v>0.8</v>
      </c>
    </row>
    <row r="496" spans="2:8">
      <c r="B496" s="186"/>
      <c r="C496" s="197" t="s">
        <v>261</v>
      </c>
      <c r="D496" s="186"/>
      <c r="E496" s="59">
        <v>0.4</v>
      </c>
      <c r="F496" s="56">
        <v>0.4</v>
      </c>
      <c r="G496" s="196">
        <v>1</v>
      </c>
      <c r="H496" s="175">
        <f t="shared" si="17"/>
        <v>0.16000000000000003</v>
      </c>
    </row>
    <row r="497" spans="2:8">
      <c r="B497" s="186"/>
      <c r="C497" s="197" t="s">
        <v>261</v>
      </c>
      <c r="D497" s="186"/>
      <c r="E497" s="59">
        <v>0.4</v>
      </c>
      <c r="F497" s="56">
        <v>0.4</v>
      </c>
      <c r="G497" s="196">
        <v>1</v>
      </c>
      <c r="H497" s="175">
        <f t="shared" si="17"/>
        <v>0.16000000000000003</v>
      </c>
    </row>
    <row r="498" spans="2:8">
      <c r="B498" s="293" t="s">
        <v>72</v>
      </c>
      <c r="C498" s="294"/>
      <c r="D498" s="294"/>
      <c r="E498" s="294"/>
      <c r="F498" s="294"/>
      <c r="G498" s="296"/>
      <c r="H498" s="175">
        <f>H491-H492-H493-H494-H495-H496-H497</f>
        <v>113.42</v>
      </c>
    </row>
    <row r="499" spans="2:8" ht="15" customHeight="1">
      <c r="B499" s="181" t="s">
        <v>236</v>
      </c>
      <c r="C499" s="83" t="s">
        <v>269</v>
      </c>
      <c r="D499" s="4"/>
      <c r="E499" s="306" t="s">
        <v>270</v>
      </c>
      <c r="F499" s="307"/>
      <c r="G499" s="308"/>
      <c r="H499" s="195">
        <f>3.14*2.5*2.5/4/2</f>
        <v>2.453125</v>
      </c>
    </row>
    <row r="500" spans="2:8" ht="15" customHeight="1">
      <c r="B500" s="293" t="s">
        <v>72</v>
      </c>
      <c r="C500" s="294"/>
      <c r="D500" s="294"/>
      <c r="E500" s="294"/>
      <c r="F500" s="294"/>
      <c r="G500" s="296"/>
      <c r="H500" s="195">
        <f>H499</f>
        <v>2.453125</v>
      </c>
    </row>
    <row r="501" spans="2:8">
      <c r="B501" s="316" t="s">
        <v>15</v>
      </c>
      <c r="C501" s="316"/>
      <c r="D501" s="316"/>
      <c r="E501" s="316"/>
      <c r="F501" s="316"/>
      <c r="G501" s="316"/>
      <c r="H501" s="194">
        <f>H490+H498+H500</f>
        <v>134.77312499999999</v>
      </c>
    </row>
    <row r="502" spans="2:8" ht="12.75" customHeight="1">
      <c r="B502" s="186" t="s">
        <v>172</v>
      </c>
      <c r="C502" s="83" t="s">
        <v>194</v>
      </c>
      <c r="D502" s="4" t="s">
        <v>9</v>
      </c>
      <c r="E502" s="205" t="s">
        <v>89</v>
      </c>
      <c r="F502" s="190" t="s">
        <v>256</v>
      </c>
      <c r="G502" s="175" t="s">
        <v>69</v>
      </c>
      <c r="H502" s="175" t="s">
        <v>11</v>
      </c>
    </row>
    <row r="503" spans="2:8" ht="12.75" customHeight="1">
      <c r="B503" s="191" t="s">
        <v>239</v>
      </c>
      <c r="C503" s="83" t="s">
        <v>272</v>
      </c>
      <c r="D503" s="192"/>
      <c r="E503" s="204"/>
      <c r="F503" s="175"/>
      <c r="G503" s="175"/>
      <c r="H503" s="175"/>
    </row>
    <row r="504" spans="2:8">
      <c r="B504" s="191"/>
      <c r="C504" s="83" t="s">
        <v>271</v>
      </c>
      <c r="D504" s="192"/>
      <c r="E504" s="204">
        <v>1.25</v>
      </c>
      <c r="F504" s="175">
        <v>1.1000000000000001</v>
      </c>
      <c r="G504" s="175"/>
      <c r="H504" s="175">
        <f>F504*E504</f>
        <v>1.375</v>
      </c>
    </row>
    <row r="505" spans="2:8">
      <c r="B505" s="191" t="s">
        <v>240</v>
      </c>
      <c r="C505" s="83" t="s">
        <v>266</v>
      </c>
      <c r="D505" s="192"/>
      <c r="E505" s="204"/>
      <c r="F505" s="175"/>
      <c r="G505" s="175"/>
      <c r="H505" s="175"/>
    </row>
    <row r="506" spans="2:8">
      <c r="B506" s="198"/>
      <c r="C506" s="198" t="s">
        <v>265</v>
      </c>
      <c r="D506" s="198"/>
      <c r="E506" s="204">
        <v>1.25</v>
      </c>
      <c r="F506" s="175">
        <v>1.1000000000000001</v>
      </c>
      <c r="G506" s="175"/>
      <c r="H506" s="175">
        <f>F506*E506</f>
        <v>1.375</v>
      </c>
    </row>
    <row r="507" spans="2:8">
      <c r="B507" s="191" t="s">
        <v>242</v>
      </c>
      <c r="C507" s="198" t="s">
        <v>202</v>
      </c>
      <c r="D507" s="198"/>
      <c r="E507" s="204"/>
      <c r="F507" s="175"/>
      <c r="G507" s="175"/>
      <c r="H507" s="175"/>
    </row>
    <row r="508" spans="2:8">
      <c r="B508" s="191"/>
      <c r="C508" s="83" t="s">
        <v>257</v>
      </c>
      <c r="D508" s="192"/>
      <c r="E508" s="175">
        <v>2.5</v>
      </c>
      <c r="F508" s="175">
        <v>3</v>
      </c>
      <c r="G508" s="204"/>
      <c r="H508" s="175">
        <f>F508*E508</f>
        <v>7.5</v>
      </c>
    </row>
    <row r="509" spans="2:8">
      <c r="B509" s="192"/>
      <c r="C509" s="5" t="s">
        <v>279</v>
      </c>
      <c r="D509" s="192"/>
      <c r="E509" s="175">
        <v>0.6</v>
      </c>
      <c r="F509" s="175">
        <v>2.1</v>
      </c>
      <c r="G509" s="204">
        <v>1</v>
      </c>
      <c r="H509" s="175">
        <f>F509*E509</f>
        <v>1.26</v>
      </c>
    </row>
    <row r="510" spans="2:8">
      <c r="B510" s="192"/>
      <c r="C510" s="5" t="s">
        <v>280</v>
      </c>
      <c r="D510" s="192"/>
      <c r="E510" s="175">
        <v>0.6</v>
      </c>
      <c r="F510" s="175">
        <v>2.1</v>
      </c>
      <c r="G510" s="204">
        <v>1</v>
      </c>
      <c r="H510" s="175">
        <f>F510*E510</f>
        <v>1.26</v>
      </c>
    </row>
    <row r="511" spans="2:8">
      <c r="B511" s="316" t="s">
        <v>31</v>
      </c>
      <c r="C511" s="316"/>
      <c r="D511" s="316"/>
      <c r="E511" s="316"/>
      <c r="F511" s="316"/>
      <c r="G511" s="316"/>
      <c r="H511" s="194">
        <f>H508-H509-H510</f>
        <v>4.9800000000000004</v>
      </c>
    </row>
    <row r="512" spans="2:8">
      <c r="B512" s="316" t="s">
        <v>15</v>
      </c>
      <c r="C512" s="316"/>
      <c r="D512" s="316"/>
      <c r="E512" s="316"/>
      <c r="F512" s="316"/>
      <c r="G512" s="316"/>
      <c r="H512" s="194">
        <f>H504+H506+H511</f>
        <v>7.73</v>
      </c>
    </row>
    <row r="513" spans="2:8">
      <c r="B513" s="186" t="s">
        <v>355</v>
      </c>
      <c r="C513" s="281" t="s">
        <v>195</v>
      </c>
      <c r="D513" s="4" t="s">
        <v>9</v>
      </c>
      <c r="E513" s="189" t="s">
        <v>89</v>
      </c>
      <c r="F513" s="189" t="s">
        <v>256</v>
      </c>
      <c r="G513" s="189" t="s">
        <v>273</v>
      </c>
      <c r="H513" s="189" t="s">
        <v>11</v>
      </c>
    </row>
    <row r="514" spans="2:8">
      <c r="B514" s="199" t="s">
        <v>357</v>
      </c>
      <c r="C514" s="83" t="s">
        <v>202</v>
      </c>
      <c r="D514" s="4"/>
      <c r="E514" s="189"/>
      <c r="F514" s="189"/>
      <c r="G514" s="189"/>
      <c r="H514" s="189"/>
    </row>
    <row r="515" spans="2:8">
      <c r="B515" s="199"/>
      <c r="C515" s="200" t="s">
        <v>274</v>
      </c>
      <c r="D515" s="23"/>
      <c r="E515" s="95">
        <f>(2.5+6.55+5+6.1+2.5+0.45)</f>
        <v>23.099999999999998</v>
      </c>
      <c r="F515" s="95">
        <v>3</v>
      </c>
      <c r="G515" s="95"/>
      <c r="H515" s="95">
        <f>E515*F515</f>
        <v>69.3</v>
      </c>
    </row>
    <row r="516" spans="2:8">
      <c r="B516" s="186"/>
      <c r="C516" s="83" t="s">
        <v>258</v>
      </c>
      <c r="D516" s="4"/>
      <c r="E516" s="196">
        <v>2</v>
      </c>
      <c r="F516" s="196">
        <v>2.2000000000000002</v>
      </c>
      <c r="G516" s="196">
        <v>1</v>
      </c>
      <c r="H516" s="175">
        <f t="shared" ref="H516:H517" si="18">G516*F516*E516</f>
        <v>4.4000000000000004</v>
      </c>
    </row>
    <row r="517" spans="2:8">
      <c r="B517" s="4"/>
      <c r="C517" s="5" t="s">
        <v>279</v>
      </c>
      <c r="D517" s="24"/>
      <c r="E517" s="175">
        <v>0.6</v>
      </c>
      <c r="F517" s="175">
        <v>2.1</v>
      </c>
      <c r="G517" s="175">
        <v>1</v>
      </c>
      <c r="H517" s="175">
        <f t="shared" si="18"/>
        <v>1.26</v>
      </c>
    </row>
    <row r="518" spans="2:8">
      <c r="B518" s="4"/>
      <c r="C518" s="5" t="s">
        <v>280</v>
      </c>
      <c r="D518" s="24"/>
      <c r="E518" s="175">
        <v>0.6</v>
      </c>
      <c r="F518" s="175">
        <v>2.1</v>
      </c>
      <c r="G518" s="175">
        <v>1</v>
      </c>
      <c r="H518" s="175">
        <f>G518*F518*E518</f>
        <v>1.26</v>
      </c>
    </row>
    <row r="519" spans="2:8">
      <c r="B519" s="4"/>
      <c r="C519" s="5" t="s">
        <v>260</v>
      </c>
      <c r="D519" s="4"/>
      <c r="E519" s="56">
        <v>2</v>
      </c>
      <c r="F519" s="56">
        <v>0.4</v>
      </c>
      <c r="G519" s="56">
        <v>1</v>
      </c>
      <c r="H519" s="56">
        <f>G519*F519*E519</f>
        <v>0.8</v>
      </c>
    </row>
    <row r="520" spans="2:8">
      <c r="B520" s="4"/>
      <c r="C520" s="5" t="s">
        <v>260</v>
      </c>
      <c r="D520" s="4"/>
      <c r="E520" s="56">
        <v>2</v>
      </c>
      <c r="F520" s="56">
        <v>0.4</v>
      </c>
      <c r="G520" s="56">
        <v>1</v>
      </c>
      <c r="H520" s="56">
        <f>G520*F520*E520</f>
        <v>0.8</v>
      </c>
    </row>
    <row r="521" spans="2:8">
      <c r="B521" s="316" t="s">
        <v>31</v>
      </c>
      <c r="C521" s="316"/>
      <c r="D521" s="316"/>
      <c r="E521" s="316"/>
      <c r="F521" s="316"/>
      <c r="G521" s="316"/>
      <c r="H521" s="194">
        <f>H515-H516-H517-H518-H519-H520</f>
        <v>60.78</v>
      </c>
    </row>
    <row r="522" spans="2:8">
      <c r="B522" s="199" t="s">
        <v>358</v>
      </c>
      <c r="C522" s="5" t="s">
        <v>263</v>
      </c>
      <c r="D522" s="206"/>
      <c r="E522" s="206"/>
      <c r="F522" s="206"/>
      <c r="G522" s="206"/>
      <c r="H522" s="194"/>
    </row>
    <row r="523" spans="2:8">
      <c r="B523" s="199"/>
      <c r="C523" s="200" t="s">
        <v>292</v>
      </c>
      <c r="D523" s="23"/>
      <c r="E523" s="195">
        <f>(1.25+1.1+1.25+1.1)</f>
        <v>4.7</v>
      </c>
      <c r="F523" s="195">
        <v>3</v>
      </c>
      <c r="G523" s="195"/>
      <c r="H523" s="195">
        <f>E523*F523</f>
        <v>14.100000000000001</v>
      </c>
    </row>
    <row r="524" spans="2:8">
      <c r="B524" s="4"/>
      <c r="C524" s="5" t="s">
        <v>279</v>
      </c>
      <c r="D524" s="24"/>
      <c r="E524" s="175">
        <v>0.6</v>
      </c>
      <c r="F524" s="175">
        <v>2.1</v>
      </c>
      <c r="G524" s="175">
        <v>1</v>
      </c>
      <c r="H524" s="195">
        <f t="shared" ref="H524:H525" si="19">E524*F524</f>
        <v>1.26</v>
      </c>
    </row>
    <row r="525" spans="2:8">
      <c r="B525" s="4"/>
      <c r="C525" s="5" t="s">
        <v>281</v>
      </c>
      <c r="D525" s="4"/>
      <c r="E525" s="196">
        <v>0.92500000000000004</v>
      </c>
      <c r="F525" s="196">
        <v>0.4</v>
      </c>
      <c r="G525" s="196">
        <v>1</v>
      </c>
      <c r="H525" s="195">
        <f t="shared" si="19"/>
        <v>0.37000000000000005</v>
      </c>
    </row>
    <row r="526" spans="2:8">
      <c r="B526" s="316" t="s">
        <v>31</v>
      </c>
      <c r="C526" s="316"/>
      <c r="D526" s="316"/>
      <c r="E526" s="316"/>
      <c r="F526" s="316"/>
      <c r="G526" s="316"/>
      <c r="H526" s="194">
        <f>H523-H524-H525</f>
        <v>12.470000000000002</v>
      </c>
    </row>
    <row r="527" spans="2:8">
      <c r="B527" s="199" t="s">
        <v>359</v>
      </c>
      <c r="C527" s="5" t="s">
        <v>264</v>
      </c>
      <c r="D527" s="5"/>
      <c r="E527" s="5"/>
      <c r="F527" s="5"/>
      <c r="G527" s="5"/>
      <c r="H527" s="207"/>
    </row>
    <row r="528" spans="2:8">
      <c r="B528" s="199"/>
      <c r="C528" s="200" t="s">
        <v>275</v>
      </c>
      <c r="D528" s="23"/>
      <c r="E528" s="195">
        <f>(1.25+1.1+1.25+1.1)</f>
        <v>4.7</v>
      </c>
      <c r="F528" s="195">
        <v>3</v>
      </c>
      <c r="G528" s="195"/>
      <c r="H528" s="195">
        <f>E528*F528</f>
        <v>14.100000000000001</v>
      </c>
    </row>
    <row r="529" spans="2:8">
      <c r="B529" s="4"/>
      <c r="C529" s="5" t="s">
        <v>280</v>
      </c>
      <c r="D529" s="24"/>
      <c r="E529" s="175">
        <v>0.6</v>
      </c>
      <c r="F529" s="175">
        <v>2.1</v>
      </c>
      <c r="G529" s="175">
        <v>1</v>
      </c>
      <c r="H529" s="195">
        <f t="shared" ref="H529:H530" si="20">E529*F529</f>
        <v>1.26</v>
      </c>
    </row>
    <row r="530" spans="2:8">
      <c r="B530" s="4"/>
      <c r="C530" s="5" t="s">
        <v>282</v>
      </c>
      <c r="D530" s="4"/>
      <c r="E530" s="196">
        <v>0.92500000000000004</v>
      </c>
      <c r="F530" s="196">
        <v>0.4</v>
      </c>
      <c r="G530" s="196">
        <v>1</v>
      </c>
      <c r="H530" s="195">
        <f t="shared" si="20"/>
        <v>0.37000000000000005</v>
      </c>
    </row>
    <row r="531" spans="2:8">
      <c r="B531" s="316" t="s">
        <v>31</v>
      </c>
      <c r="C531" s="316"/>
      <c r="D531" s="316"/>
      <c r="E531" s="316"/>
      <c r="F531" s="316"/>
      <c r="G531" s="316"/>
      <c r="H531" s="194">
        <f>H528-H529-H530</f>
        <v>12.470000000000002</v>
      </c>
    </row>
    <row r="532" spans="2:8">
      <c r="B532" s="316" t="s">
        <v>15</v>
      </c>
      <c r="C532" s="316"/>
      <c r="D532" s="316"/>
      <c r="E532" s="316"/>
      <c r="F532" s="316"/>
      <c r="G532" s="316"/>
      <c r="H532" s="194">
        <f>H521+H526+H531</f>
        <v>85.72</v>
      </c>
    </row>
    <row r="533" spans="2:8">
      <c r="B533" s="186" t="s">
        <v>356</v>
      </c>
      <c r="C533" s="202" t="s">
        <v>196</v>
      </c>
      <c r="D533" s="4" t="s">
        <v>9</v>
      </c>
      <c r="E533" s="188" t="s">
        <v>90</v>
      </c>
      <c r="F533" s="189" t="s">
        <v>48</v>
      </c>
      <c r="G533" s="189" t="s">
        <v>69</v>
      </c>
      <c r="H533" s="189" t="s">
        <v>11</v>
      </c>
    </row>
    <row r="534" spans="2:8">
      <c r="B534" s="181" t="s">
        <v>360</v>
      </c>
      <c r="C534" s="83" t="s">
        <v>263</v>
      </c>
      <c r="D534" s="4"/>
      <c r="E534" s="195"/>
      <c r="F534" s="195"/>
      <c r="G534" s="195"/>
      <c r="H534" s="180"/>
    </row>
    <row r="535" spans="2:8">
      <c r="B535" s="181"/>
      <c r="C535" s="83" t="s">
        <v>276</v>
      </c>
      <c r="D535" s="4"/>
      <c r="E535" s="195">
        <f xml:space="preserve"> 2*0.63</f>
        <v>1.26</v>
      </c>
      <c r="F535" s="195">
        <v>2.13</v>
      </c>
      <c r="G535" s="195">
        <v>1</v>
      </c>
      <c r="H535" s="180">
        <f>G535*F535*E535</f>
        <v>2.6837999999999997</v>
      </c>
    </row>
    <row r="536" spans="2:8">
      <c r="B536" s="181"/>
      <c r="C536" s="83" t="s">
        <v>277</v>
      </c>
      <c r="D536" s="4"/>
      <c r="E536" s="195">
        <f>(2.1+0.6+2.1)</f>
        <v>4.8000000000000007</v>
      </c>
      <c r="F536" s="195">
        <v>0.35</v>
      </c>
      <c r="G536" s="195">
        <v>1</v>
      </c>
      <c r="H536" s="180">
        <f>G536*F536*E536</f>
        <v>1.6800000000000002</v>
      </c>
    </row>
    <row r="537" spans="2:8" ht="12.75" customHeight="1">
      <c r="B537" s="316" t="s">
        <v>31</v>
      </c>
      <c r="C537" s="316"/>
      <c r="D537" s="316"/>
      <c r="E537" s="316"/>
      <c r="F537" s="316"/>
      <c r="G537" s="316"/>
      <c r="H537" s="194">
        <f>H535+H536</f>
        <v>4.3637999999999995</v>
      </c>
    </row>
    <row r="538" spans="2:8" ht="12.75" customHeight="1">
      <c r="B538" s="181" t="s">
        <v>361</v>
      </c>
      <c r="C538" s="83" t="s">
        <v>283</v>
      </c>
      <c r="D538" s="4"/>
      <c r="E538" s="306"/>
      <c r="F538" s="307"/>
      <c r="G538" s="307"/>
      <c r="H538" s="308"/>
    </row>
    <row r="539" spans="2:8">
      <c r="B539" s="181"/>
      <c r="C539" s="83" t="s">
        <v>276</v>
      </c>
      <c r="D539" s="4"/>
      <c r="E539" s="195">
        <f xml:space="preserve"> 2*0.63</f>
        <v>1.26</v>
      </c>
      <c r="F539" s="195">
        <v>2.13</v>
      </c>
      <c r="G539" s="195">
        <v>1</v>
      </c>
      <c r="H539" s="180">
        <f>G539*F539*E539</f>
        <v>2.6837999999999997</v>
      </c>
    </row>
    <row r="540" spans="2:8">
      <c r="B540" s="181"/>
      <c r="C540" s="83" t="s">
        <v>277</v>
      </c>
      <c r="D540" s="4"/>
      <c r="E540" s="195">
        <f>(2.1+0.6+2.1)</f>
        <v>4.8000000000000007</v>
      </c>
      <c r="F540" s="195">
        <v>0.35</v>
      </c>
      <c r="G540" s="195">
        <v>1</v>
      </c>
      <c r="H540" s="180">
        <f>G540*F540*E540</f>
        <v>1.6800000000000002</v>
      </c>
    </row>
    <row r="541" spans="2:8">
      <c r="B541" s="316" t="s">
        <v>31</v>
      </c>
      <c r="C541" s="316"/>
      <c r="D541" s="316"/>
      <c r="E541" s="316"/>
      <c r="F541" s="316"/>
      <c r="G541" s="316"/>
      <c r="H541" s="194">
        <f>H539+H540</f>
        <v>4.3637999999999995</v>
      </c>
    </row>
    <row r="542" spans="2:8" ht="13.5" thickBot="1">
      <c r="B542" s="316" t="s">
        <v>15</v>
      </c>
      <c r="C542" s="316"/>
      <c r="D542" s="316"/>
      <c r="E542" s="316"/>
      <c r="F542" s="316"/>
      <c r="G542" s="316"/>
      <c r="H542" s="194">
        <f>H541+H537</f>
        <v>8.7275999999999989</v>
      </c>
    </row>
    <row r="543" spans="2:8" ht="13.5" thickBot="1">
      <c r="B543" s="322" t="s">
        <v>197</v>
      </c>
      <c r="C543" s="323"/>
      <c r="D543" s="323"/>
      <c r="E543" s="323"/>
      <c r="F543" s="323"/>
      <c r="G543" s="323"/>
      <c r="H543" s="324"/>
    </row>
    <row r="544" spans="2:8" ht="12.75" customHeight="1">
      <c r="B544" s="272">
        <v>8</v>
      </c>
      <c r="C544" s="305" t="s">
        <v>38</v>
      </c>
      <c r="D544" s="305"/>
      <c r="E544" s="305"/>
      <c r="F544" s="305"/>
      <c r="G544" s="305"/>
      <c r="H544" s="305"/>
    </row>
    <row r="545" spans="2:8" ht="12.75" customHeight="1">
      <c r="B545" s="186" t="s">
        <v>151</v>
      </c>
      <c r="C545" s="83" t="s">
        <v>63</v>
      </c>
      <c r="D545" s="4" t="s">
        <v>9</v>
      </c>
      <c r="E545" s="282">
        <v>42.66</v>
      </c>
      <c r="F545" s="340"/>
      <c r="G545" s="340"/>
      <c r="H545" s="283"/>
    </row>
    <row r="546" spans="2:8">
      <c r="B546" s="291" t="s">
        <v>15</v>
      </c>
      <c r="C546" s="291"/>
      <c r="D546" s="291"/>
      <c r="E546" s="291"/>
      <c r="F546" s="291"/>
      <c r="G546" s="291"/>
      <c r="H546" s="203">
        <f>E545</f>
        <v>42.66</v>
      </c>
    </row>
    <row r="547" spans="2:8">
      <c r="B547" s="422"/>
      <c r="C547" s="423"/>
      <c r="D547" s="423"/>
      <c r="E547" s="423"/>
      <c r="F547" s="423"/>
      <c r="G547" s="423"/>
      <c r="H547" s="424"/>
    </row>
    <row r="548" spans="2:8" ht="15" customHeight="1">
      <c r="B548" s="186" t="s">
        <v>152</v>
      </c>
      <c r="C548" s="83" t="s">
        <v>198</v>
      </c>
      <c r="D548" s="4" t="s">
        <v>9</v>
      </c>
      <c r="E548" s="282" t="s">
        <v>10</v>
      </c>
      <c r="F548" s="283"/>
      <c r="G548" s="189" t="s">
        <v>90</v>
      </c>
      <c r="H548" s="189" t="s">
        <v>11</v>
      </c>
    </row>
    <row r="549" spans="2:8">
      <c r="B549" s="181" t="s">
        <v>245</v>
      </c>
      <c r="C549" s="83" t="s">
        <v>206</v>
      </c>
      <c r="D549" s="4"/>
      <c r="E549" s="282">
        <v>2.5</v>
      </c>
      <c r="F549" s="283"/>
      <c r="G549" s="175">
        <v>1</v>
      </c>
      <c r="H549" s="175">
        <f>G549*E549</f>
        <v>2.5</v>
      </c>
    </row>
    <row r="550" spans="2:8">
      <c r="B550" s="181" t="s">
        <v>246</v>
      </c>
      <c r="C550" s="83" t="s">
        <v>202</v>
      </c>
      <c r="D550" s="4"/>
      <c r="E550" s="430" t="s">
        <v>278</v>
      </c>
      <c r="F550" s="431"/>
      <c r="G550" s="432"/>
      <c r="H550" s="196">
        <f>5*6.1+2.5*0.45</f>
        <v>31.625</v>
      </c>
    </row>
    <row r="551" spans="2:8" ht="15" customHeight="1">
      <c r="B551" s="181" t="s">
        <v>247</v>
      </c>
      <c r="C551" s="83" t="s">
        <v>263</v>
      </c>
      <c r="D551" s="4"/>
      <c r="E551" s="282">
        <v>1.1000000000000001</v>
      </c>
      <c r="F551" s="283"/>
      <c r="G551" s="175">
        <v>1.25</v>
      </c>
      <c r="H551" s="175">
        <f>G551*E551</f>
        <v>1.375</v>
      </c>
    </row>
    <row r="552" spans="2:8" ht="15" customHeight="1">
      <c r="B552" s="181" t="s">
        <v>248</v>
      </c>
      <c r="C552" s="83" t="s">
        <v>264</v>
      </c>
      <c r="D552" s="4"/>
      <c r="E552" s="282">
        <v>1.1000000000000001</v>
      </c>
      <c r="F552" s="283"/>
      <c r="G552" s="175">
        <v>1.25</v>
      </c>
      <c r="H552" s="175">
        <f>G552*E552</f>
        <v>1.375</v>
      </c>
    </row>
    <row r="553" spans="2:8" ht="12.75" customHeight="1">
      <c r="B553" s="316" t="s">
        <v>15</v>
      </c>
      <c r="C553" s="316"/>
      <c r="D553" s="316"/>
      <c r="E553" s="316"/>
      <c r="F553" s="316"/>
      <c r="G553" s="316"/>
      <c r="H553" s="194">
        <f>H551+H552+H549+H550</f>
        <v>36.875</v>
      </c>
    </row>
    <row r="554" spans="2:8" ht="15" customHeight="1"/>
    <row r="555" spans="2:8" ht="15" customHeight="1"/>
  </sheetData>
  <sheetProtection password="C324" sheet="1" objects="1" scenarios="1"/>
  <mergeCells count="301">
    <mergeCell ref="E552:F552"/>
    <mergeCell ref="E550:G550"/>
    <mergeCell ref="B57:G57"/>
    <mergeCell ref="E131:F131"/>
    <mergeCell ref="E132:F132"/>
    <mergeCell ref="E133:F133"/>
    <mergeCell ref="E134:F134"/>
    <mergeCell ref="E135:F135"/>
    <mergeCell ref="B185:G185"/>
    <mergeCell ref="B361:G361"/>
    <mergeCell ref="E280:H280"/>
    <mergeCell ref="E281:H281"/>
    <mergeCell ref="B282:G282"/>
    <mergeCell ref="D279:H279"/>
    <mergeCell ref="D283:H283"/>
    <mergeCell ref="E284:H284"/>
    <mergeCell ref="B109:G109"/>
    <mergeCell ref="B114:G114"/>
    <mergeCell ref="B119:G119"/>
    <mergeCell ref="E104:H104"/>
    <mergeCell ref="B122:G122"/>
    <mergeCell ref="B130:G130"/>
    <mergeCell ref="E551:F551"/>
    <mergeCell ref="B110:H110"/>
    <mergeCell ref="E545:H545"/>
    <mergeCell ref="E548:F548"/>
    <mergeCell ref="E549:F549"/>
    <mergeCell ref="B462:H462"/>
    <mergeCell ref="B466:G466"/>
    <mergeCell ref="B468:G468"/>
    <mergeCell ref="B470:G470"/>
    <mergeCell ref="E467:H467"/>
    <mergeCell ref="E469:H469"/>
    <mergeCell ref="E499:G499"/>
    <mergeCell ref="B490:G490"/>
    <mergeCell ref="E474:H474"/>
    <mergeCell ref="E473:H473"/>
    <mergeCell ref="B543:H543"/>
    <mergeCell ref="C544:H544"/>
    <mergeCell ref="B546:G546"/>
    <mergeCell ref="B547:H547"/>
    <mergeCell ref="B500:G500"/>
    <mergeCell ref="B475:G475"/>
    <mergeCell ref="B476:H476"/>
    <mergeCell ref="E479:F479"/>
    <mergeCell ref="E464:F464"/>
    <mergeCell ref="G464:H464"/>
    <mergeCell ref="E465:F465"/>
    <mergeCell ref="B21:H21"/>
    <mergeCell ref="C22:H22"/>
    <mergeCell ref="E29:H29"/>
    <mergeCell ref="B35:G35"/>
    <mergeCell ref="B32:G32"/>
    <mergeCell ref="E88:H88"/>
    <mergeCell ref="E38:H38"/>
    <mergeCell ref="C40:H40"/>
    <mergeCell ref="B43:G43"/>
    <mergeCell ref="B49:G49"/>
    <mergeCell ref="E51:H51"/>
    <mergeCell ref="B52:G52"/>
    <mergeCell ref="B36:H36"/>
    <mergeCell ref="B37:H37"/>
    <mergeCell ref="E74:H74"/>
    <mergeCell ref="E75:H75"/>
    <mergeCell ref="E76:H76"/>
    <mergeCell ref="B77:G77"/>
    <mergeCell ref="B58:H58"/>
    <mergeCell ref="E80:H80"/>
    <mergeCell ref="E107:H107"/>
    <mergeCell ref="E81:H81"/>
    <mergeCell ref="E82:H82"/>
    <mergeCell ref="E83:H83"/>
    <mergeCell ref="B84:G84"/>
    <mergeCell ref="E86:H86"/>
    <mergeCell ref="B87:G87"/>
    <mergeCell ref="E85:H85"/>
    <mergeCell ref="E97:H97"/>
    <mergeCell ref="E98:H98"/>
    <mergeCell ref="E99:H99"/>
    <mergeCell ref="E100:H100"/>
    <mergeCell ref="E102:H102"/>
    <mergeCell ref="E93:H93"/>
    <mergeCell ref="E94:H94"/>
    <mergeCell ref="B95:G95"/>
    <mergeCell ref="E92:H92"/>
    <mergeCell ref="E89:H89"/>
    <mergeCell ref="E90:H90"/>
    <mergeCell ref="B91:G91"/>
    <mergeCell ref="B101:G101"/>
    <mergeCell ref="B105:G105"/>
    <mergeCell ref="E106:H106"/>
    <mergeCell ref="B1:H1"/>
    <mergeCell ref="B2:H2"/>
    <mergeCell ref="B3:H3"/>
    <mergeCell ref="B5:H5"/>
    <mergeCell ref="B39:H39"/>
    <mergeCell ref="B4:H4"/>
    <mergeCell ref="B6:H6"/>
    <mergeCell ref="B7:H7"/>
    <mergeCell ref="B8:H8"/>
    <mergeCell ref="E9:H9"/>
    <mergeCell ref="B10:H10"/>
    <mergeCell ref="C11:H11"/>
    <mergeCell ref="E12:H12"/>
    <mergeCell ref="B13:G13"/>
    <mergeCell ref="E14:H14"/>
    <mergeCell ref="B15:G15"/>
    <mergeCell ref="B16:H16"/>
    <mergeCell ref="C17:H17"/>
    <mergeCell ref="E18:H18"/>
    <mergeCell ref="E20:H20"/>
    <mergeCell ref="B27:H27"/>
    <mergeCell ref="C28:H28"/>
    <mergeCell ref="B26:G26"/>
    <mergeCell ref="E19:H19"/>
    <mergeCell ref="E228:H228"/>
    <mergeCell ref="B226:H226"/>
    <mergeCell ref="B186:G186"/>
    <mergeCell ref="B173:G173"/>
    <mergeCell ref="B62:H62"/>
    <mergeCell ref="B78:H78"/>
    <mergeCell ref="B123:H123"/>
    <mergeCell ref="B115:H115"/>
    <mergeCell ref="C59:H59"/>
    <mergeCell ref="E60:H60"/>
    <mergeCell ref="B61:G61"/>
    <mergeCell ref="B69:G69"/>
    <mergeCell ref="B73:G73"/>
    <mergeCell ref="E64:H64"/>
    <mergeCell ref="E65:H65"/>
    <mergeCell ref="E67:H67"/>
    <mergeCell ref="E68:H68"/>
    <mergeCell ref="E70:H70"/>
    <mergeCell ref="E72:H72"/>
    <mergeCell ref="E71:H71"/>
    <mergeCell ref="B193:G193"/>
    <mergeCell ref="E108:H108"/>
    <mergeCell ref="B66:G66"/>
    <mergeCell ref="E103:H103"/>
    <mergeCell ref="F239:G239"/>
    <mergeCell ref="B136:G136"/>
    <mergeCell ref="F240:G240"/>
    <mergeCell ref="F241:G241"/>
    <mergeCell ref="B242:G242"/>
    <mergeCell ref="F234:G234"/>
    <mergeCell ref="F235:G235"/>
    <mergeCell ref="F236:G236"/>
    <mergeCell ref="F237:G237"/>
    <mergeCell ref="F238:G238"/>
    <mergeCell ref="F229:G229"/>
    <mergeCell ref="F231:G231"/>
    <mergeCell ref="F232:G232"/>
    <mergeCell ref="F233:G233"/>
    <mergeCell ref="F230:G230"/>
    <mergeCell ref="C227:H227"/>
    <mergeCell ref="B225:G225"/>
    <mergeCell ref="B181:G181"/>
    <mergeCell ref="B137:H137"/>
    <mergeCell ref="B145:G145"/>
    <mergeCell ref="B151:G151"/>
    <mergeCell ref="B156:G156"/>
    <mergeCell ref="B161:G161"/>
    <mergeCell ref="B167:G167"/>
    <mergeCell ref="F250:G250"/>
    <mergeCell ref="F251:G251"/>
    <mergeCell ref="F252:G252"/>
    <mergeCell ref="F253:G253"/>
    <mergeCell ref="F254:G254"/>
    <mergeCell ref="B255:G255"/>
    <mergeCell ref="B256:H256"/>
    <mergeCell ref="C257:H257"/>
    <mergeCell ref="E243:H243"/>
    <mergeCell ref="E246:H246"/>
    <mergeCell ref="B247:H247"/>
    <mergeCell ref="C248:H248"/>
    <mergeCell ref="F249:G249"/>
    <mergeCell ref="B244:H244"/>
    <mergeCell ref="B245:H245"/>
    <mergeCell ref="E258:H258"/>
    <mergeCell ref="B259:G259"/>
    <mergeCell ref="B260:H260"/>
    <mergeCell ref="E262:H262"/>
    <mergeCell ref="E263:H263"/>
    <mergeCell ref="E264:H264"/>
    <mergeCell ref="B265:G265"/>
    <mergeCell ref="E266:H266"/>
    <mergeCell ref="E267:H267"/>
    <mergeCell ref="B268:G268"/>
    <mergeCell ref="E269:H269"/>
    <mergeCell ref="E270:H270"/>
    <mergeCell ref="B271:G271"/>
    <mergeCell ref="B272:H272"/>
    <mergeCell ref="D273:H273"/>
    <mergeCell ref="D274:H274"/>
    <mergeCell ref="D275:H275"/>
    <mergeCell ref="E276:H276"/>
    <mergeCell ref="E277:H277"/>
    <mergeCell ref="B278:G278"/>
    <mergeCell ref="D287:H287"/>
    <mergeCell ref="E288:H288"/>
    <mergeCell ref="E289:H289"/>
    <mergeCell ref="B290:G290"/>
    <mergeCell ref="E291:H291"/>
    <mergeCell ref="E292:H292"/>
    <mergeCell ref="B293:G293"/>
    <mergeCell ref="E285:H285"/>
    <mergeCell ref="B286:G286"/>
    <mergeCell ref="E295:H295"/>
    <mergeCell ref="E296:H296"/>
    <mergeCell ref="B297:G297"/>
    <mergeCell ref="B298:H298"/>
    <mergeCell ref="B304:G304"/>
    <mergeCell ref="B305:H305"/>
    <mergeCell ref="C306:H306"/>
    <mergeCell ref="F307:G307"/>
    <mergeCell ref="F308:G308"/>
    <mergeCell ref="B344:G344"/>
    <mergeCell ref="F428:G428"/>
    <mergeCell ref="F429:G429"/>
    <mergeCell ref="F430:G430"/>
    <mergeCell ref="F431:G431"/>
    <mergeCell ref="B393:G393"/>
    <mergeCell ref="B415:G415"/>
    <mergeCell ref="B416:H416"/>
    <mergeCell ref="C417:H417"/>
    <mergeCell ref="E418:H418"/>
    <mergeCell ref="F419:G419"/>
    <mergeCell ref="E420:H420"/>
    <mergeCell ref="F421:G421"/>
    <mergeCell ref="F422:G422"/>
    <mergeCell ref="F423:G423"/>
    <mergeCell ref="F424:G424"/>
    <mergeCell ref="F425:G425"/>
    <mergeCell ref="F426:G426"/>
    <mergeCell ref="F427:G427"/>
    <mergeCell ref="F309:G309"/>
    <mergeCell ref="F310:G310"/>
    <mergeCell ref="F311:G311"/>
    <mergeCell ref="F312:G312"/>
    <mergeCell ref="B313:G313"/>
    <mergeCell ref="B314:H314"/>
    <mergeCell ref="B325:G325"/>
    <mergeCell ref="B332:G332"/>
    <mergeCell ref="B339:G339"/>
    <mergeCell ref="E456:H456"/>
    <mergeCell ref="B349:G349"/>
    <mergeCell ref="B357:G357"/>
    <mergeCell ref="B362:G362"/>
    <mergeCell ref="B372:G372"/>
    <mergeCell ref="B377:G377"/>
    <mergeCell ref="B382:G382"/>
    <mergeCell ref="B387:G387"/>
    <mergeCell ref="B392:G392"/>
    <mergeCell ref="B553:G553"/>
    <mergeCell ref="B436:H436"/>
    <mergeCell ref="B437:H437"/>
    <mergeCell ref="E538:H538"/>
    <mergeCell ref="B531:G531"/>
    <mergeCell ref="B532:G532"/>
    <mergeCell ref="B537:G537"/>
    <mergeCell ref="B541:G541"/>
    <mergeCell ref="B542:G542"/>
    <mergeCell ref="B511:G511"/>
    <mergeCell ref="B512:G512"/>
    <mergeCell ref="B521:G521"/>
    <mergeCell ref="B526:G526"/>
    <mergeCell ref="B452:H452"/>
    <mergeCell ref="C453:H453"/>
    <mergeCell ref="B457:G457"/>
    <mergeCell ref="C458:H458"/>
    <mergeCell ref="C477:H477"/>
    <mergeCell ref="B487:G487"/>
    <mergeCell ref="B498:G498"/>
    <mergeCell ref="B501:G501"/>
    <mergeCell ref="B461:G461"/>
    <mergeCell ref="B471:H471"/>
    <mergeCell ref="C472:H472"/>
    <mergeCell ref="G465:H465"/>
    <mergeCell ref="D463:H463"/>
    <mergeCell ref="G444:H444"/>
    <mergeCell ref="G445:H445"/>
    <mergeCell ref="G446:H446"/>
    <mergeCell ref="B447:G447"/>
    <mergeCell ref="F432:G432"/>
    <mergeCell ref="F433:G433"/>
    <mergeCell ref="B434:G434"/>
    <mergeCell ref="E435:H435"/>
    <mergeCell ref="E438:H438"/>
    <mergeCell ref="B439:H439"/>
    <mergeCell ref="C440:H440"/>
    <mergeCell ref="B443:G443"/>
    <mergeCell ref="B448:H448"/>
    <mergeCell ref="B451:G451"/>
    <mergeCell ref="E459:H459"/>
    <mergeCell ref="E460:H460"/>
    <mergeCell ref="E442:H442"/>
    <mergeCell ref="E441:H441"/>
    <mergeCell ref="E450:H450"/>
    <mergeCell ref="E449:H449"/>
    <mergeCell ref="E454:H454"/>
    <mergeCell ref="E455:H45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2" manualBreakCount="2">
    <brk id="56" min="1" max="7" man="1"/>
    <brk id="12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</vt:lpstr>
      <vt:lpstr>Memória de cálculo</vt:lpstr>
      <vt:lpstr>'Memória de cálculo'!Area_de_impressao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2018-03-26T18:48:24Z</dcterms:modified>
</cp:coreProperties>
</file>